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$PLANNING_SHE\FDPP - FULL DISCLOSURE POLICY PORTAL\2025\Annual Documents 2025\"/>
    </mc:Choice>
  </mc:AlternateContent>
  <xr:revisionPtr revIDLastSave="0" documentId="13_ncr:1_{4DF078E4-F6F3-4CF2-A6AF-5CB2AE278B4F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Form 1b - ABR Summary" sheetId="2" r:id="rId1"/>
    <sheet name="OCM" sheetId="56" r:id="rId2"/>
    <sheet name="IAS" sheetId="57" r:id="rId3"/>
    <sheet name="PSTMO" sheetId="58" r:id="rId4"/>
    <sheet name="MDRRMO" sheetId="59" r:id="rId5"/>
    <sheet name="CMDAO" sheetId="60" r:id="rId6"/>
    <sheet name="BPLO" sheetId="61" r:id="rId7"/>
    <sheet name="CUPAO" sheetId="62" r:id="rId8"/>
    <sheet name="LIBRARY" sheetId="63" r:id="rId9"/>
    <sheet name="CTCAO" sheetId="64" r:id="rId10"/>
    <sheet name="CMPI" sheetId="65" r:id="rId11"/>
    <sheet name="PESO" sheetId="66" r:id="rId12"/>
    <sheet name="MCAT" sheetId="67" r:id="rId13"/>
    <sheet name="MPIO" sheetId="68" r:id="rId14"/>
    <sheet name="OSCA" sheetId="69" r:id="rId15"/>
    <sheet name="PDAO" sheetId="70" r:id="rId16"/>
    <sheet name="SPORTS" sheetId="71" r:id="rId17"/>
    <sheet name="MARKET" sheetId="72" r:id="rId18"/>
    <sheet name="COOP" sheetId="73" r:id="rId19"/>
    <sheet name="CENRO" sheetId="74" r:id="rId20"/>
    <sheet name="GAD" sheetId="75" r:id="rId21"/>
    <sheet name="OCA" sheetId="76" r:id="rId22"/>
    <sheet name="CHRMDD" sheetId="77" r:id="rId23"/>
    <sheet name="CBD" sheetId="78" r:id="rId24"/>
    <sheet name="CPDD" sheetId="79" r:id="rId25"/>
    <sheet name="CAD" sheetId="80" r:id="rId26"/>
    <sheet name="CLD" sheetId="81" r:id="rId27"/>
    <sheet name="GSD" sheetId="82" r:id="rId28"/>
    <sheet name="CTD" sheetId="83" r:id="rId29"/>
    <sheet name="CAssD" sheetId="84" r:id="rId30"/>
    <sheet name="CHD" sheetId="85" r:id="rId31"/>
    <sheet name="CCRD" sheetId="86" r:id="rId32"/>
    <sheet name="CED" sheetId="87" r:id="rId33"/>
    <sheet name="CSWDD" sheetId="88" r:id="rId34"/>
    <sheet name="CHUDD" sheetId="89" r:id="rId35"/>
    <sheet name="OCVM" sheetId="90" r:id="rId36"/>
    <sheet name="COUNCIL" sheetId="91" r:id="rId37"/>
    <sheet name="COUNCIL SEC" sheetId="92" r:id="rId38"/>
    <sheet name="CMU" sheetId="93" r:id="rId39"/>
    <sheet name="FDPP LICENSE" sheetId="3" state="veryHidden" r:id="rId40"/>
  </sheets>
  <definedNames>
    <definedName name="_xlnm.Print_Area" localSheetId="0">'Form 1b - ABR Summary'!$A$1:$G$172</definedName>
    <definedName name="_xlnm.Print_Titles" localSheetId="0">'Form 1b - ABR Summary'!#REF!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46" i="2" l="1"/>
  <c r="E146" i="2" s="1"/>
  <c r="D146" i="2"/>
  <c r="C146" i="2"/>
  <c r="E145" i="2"/>
  <c r="E144" i="2"/>
  <c r="E143" i="2"/>
  <c r="E142" i="2"/>
  <c r="E141" i="2"/>
  <c r="E140" i="2"/>
  <c r="G139" i="2"/>
  <c r="G146" i="2" s="1"/>
  <c r="E139" i="2"/>
  <c r="E138" i="2"/>
  <c r="E137" i="2"/>
  <c r="E136" i="2"/>
  <c r="E135" i="2"/>
  <c r="E134" i="2"/>
  <c r="F132" i="2"/>
  <c r="D132" i="2"/>
  <c r="E131" i="2"/>
  <c r="E130" i="2"/>
  <c r="E129" i="2"/>
  <c r="E128" i="2"/>
  <c r="E127" i="2"/>
  <c r="E126" i="2"/>
  <c r="E125" i="2"/>
  <c r="E124" i="2"/>
  <c r="E123" i="2"/>
  <c r="E122" i="2"/>
  <c r="E121" i="2"/>
  <c r="C121" i="2"/>
  <c r="E120" i="2"/>
  <c r="C120" i="2"/>
  <c r="C132" i="2" s="1"/>
  <c r="E119" i="2"/>
  <c r="E118" i="2"/>
  <c r="G117" i="2"/>
  <c r="G132" i="2" s="1"/>
  <c r="E117" i="2"/>
  <c r="E116" i="2"/>
  <c r="E115" i="2"/>
  <c r="E114" i="2"/>
  <c r="E111" i="2"/>
  <c r="E110" i="2"/>
  <c r="E109" i="2"/>
  <c r="E107" i="2"/>
  <c r="E106" i="2"/>
  <c r="G104" i="2"/>
  <c r="F104" i="2"/>
  <c r="D104" i="2"/>
  <c r="C104" i="2"/>
  <c r="E103" i="2"/>
  <c r="E102" i="2"/>
  <c r="E101" i="2"/>
  <c r="D99" i="2"/>
  <c r="E98" i="2"/>
  <c r="E97" i="2"/>
  <c r="E96" i="2"/>
  <c r="E95" i="2"/>
  <c r="E94" i="2"/>
  <c r="E93" i="2"/>
  <c r="E92" i="2"/>
  <c r="E91" i="2"/>
  <c r="E90" i="2"/>
  <c r="E89" i="2"/>
  <c r="E88" i="2"/>
  <c r="F87" i="2"/>
  <c r="E87" i="2" s="1"/>
  <c r="E86" i="2"/>
  <c r="E85" i="2"/>
  <c r="E84" i="2"/>
  <c r="E83" i="2"/>
  <c r="E82" i="2"/>
  <c r="E81" i="2"/>
  <c r="E80" i="2"/>
  <c r="E79" i="2"/>
  <c r="E78" i="2"/>
  <c r="C78" i="2"/>
  <c r="F77" i="2"/>
  <c r="E77" i="2" s="1"/>
  <c r="C77" i="2"/>
  <c r="E76" i="2"/>
  <c r="C76" i="2"/>
  <c r="E75" i="2"/>
  <c r="F74" i="2"/>
  <c r="E74" i="2" s="1"/>
  <c r="C74" i="2"/>
  <c r="E73" i="2"/>
  <c r="E72" i="2"/>
  <c r="E71" i="2"/>
  <c r="E70" i="2"/>
  <c r="E69" i="2"/>
  <c r="E68" i="2"/>
  <c r="E67" i="2"/>
  <c r="E66" i="2"/>
  <c r="E65" i="2"/>
  <c r="E64" i="2"/>
  <c r="F63" i="2"/>
  <c r="E63" i="2"/>
  <c r="C63" i="2"/>
  <c r="G62" i="2"/>
  <c r="F62" i="2"/>
  <c r="E62" i="2" s="1"/>
  <c r="E61" i="2"/>
  <c r="F60" i="2"/>
  <c r="E60" i="2" s="1"/>
  <c r="C60" i="2"/>
  <c r="F59" i="2"/>
  <c r="E59" i="2" s="1"/>
  <c r="C59" i="2"/>
  <c r="G58" i="2"/>
  <c r="F58" i="2"/>
  <c r="E58" i="2" s="1"/>
  <c r="C58" i="2"/>
  <c r="F57" i="2"/>
  <c r="E57" i="2" s="1"/>
  <c r="E56" i="2"/>
  <c r="F55" i="2"/>
  <c r="E55" i="2" s="1"/>
  <c r="E54" i="2"/>
  <c r="F53" i="2"/>
  <c r="E53" i="2" s="1"/>
  <c r="E52" i="2"/>
  <c r="E51" i="2"/>
  <c r="C51" i="2"/>
  <c r="E50" i="2"/>
  <c r="E49" i="2"/>
  <c r="G48" i="2"/>
  <c r="F48" i="2"/>
  <c r="E48" i="2" s="1"/>
  <c r="C48" i="2"/>
  <c r="E47" i="2"/>
  <c r="E46" i="2"/>
  <c r="E45" i="2"/>
  <c r="F44" i="2"/>
  <c r="E44" i="2"/>
  <c r="D42" i="2"/>
  <c r="C42" i="2"/>
  <c r="E41" i="2"/>
  <c r="G40" i="2"/>
  <c r="E40" i="2"/>
  <c r="E39" i="2"/>
  <c r="G37" i="2"/>
  <c r="F37" i="2"/>
  <c r="E37" i="2"/>
  <c r="G36" i="2"/>
  <c r="F36" i="2"/>
  <c r="E36" i="2" s="1"/>
  <c r="G35" i="2"/>
  <c r="F35" i="2"/>
  <c r="E35" i="2" s="1"/>
  <c r="G34" i="2"/>
  <c r="F34" i="2"/>
  <c r="E34" i="2" s="1"/>
  <c r="G32" i="2"/>
  <c r="E32" i="2"/>
  <c r="G31" i="2"/>
  <c r="F31" i="2"/>
  <c r="E31" i="2" s="1"/>
  <c r="G30" i="2"/>
  <c r="F30" i="2"/>
  <c r="E30" i="2" s="1"/>
  <c r="G29" i="2"/>
  <c r="F29" i="2"/>
  <c r="E29" i="2" s="1"/>
  <c r="E28" i="2"/>
  <c r="E27" i="2"/>
  <c r="E26" i="2"/>
  <c r="G25" i="2"/>
  <c r="F25" i="2"/>
  <c r="E25" i="2" s="1"/>
  <c r="E24" i="2"/>
  <c r="E23" i="2"/>
  <c r="G22" i="2"/>
  <c r="F22" i="2"/>
  <c r="E22" i="2" s="1"/>
  <c r="F21" i="2"/>
  <c r="E21" i="2" s="1"/>
  <c r="F20" i="2"/>
  <c r="E20" i="2" s="1"/>
  <c r="G19" i="2"/>
  <c r="F19" i="2"/>
  <c r="E19" i="2" s="1"/>
  <c r="E17" i="2"/>
  <c r="G16" i="2"/>
  <c r="F16" i="2"/>
  <c r="E16" i="2" s="1"/>
  <c r="E104" i="2" l="1"/>
  <c r="E132" i="2"/>
  <c r="G99" i="2"/>
  <c r="C99" i="2"/>
  <c r="C147" i="2" s="1"/>
  <c r="F42" i="2"/>
  <c r="D147" i="2"/>
  <c r="G42" i="2"/>
  <c r="E99" i="2"/>
  <c r="E42" i="2"/>
  <c r="G147" i="2"/>
  <c r="F99" i="2"/>
  <c r="F147" i="2" s="1"/>
  <c r="E147" i="2" s="1"/>
  <c r="G56" i="93"/>
  <c r="F56" i="93"/>
  <c r="F58" i="93" s="1"/>
  <c r="D56" i="93"/>
  <c r="C56" i="93"/>
  <c r="E54" i="93"/>
  <c r="E53" i="93"/>
  <c r="E52" i="93"/>
  <c r="E51" i="93"/>
  <c r="E50" i="93"/>
  <c r="E46" i="93"/>
  <c r="E45" i="93"/>
  <c r="E44" i="93"/>
  <c r="E43" i="93"/>
  <c r="E42" i="93"/>
  <c r="E41" i="93"/>
  <c r="E40" i="93"/>
  <c r="E39" i="93"/>
  <c r="E38" i="93"/>
  <c r="E37" i="93"/>
  <c r="E36" i="93"/>
  <c r="E35" i="93"/>
  <c r="E34" i="93"/>
  <c r="E33" i="93"/>
  <c r="F31" i="93"/>
  <c r="D31" i="93"/>
  <c r="D58" i="93" s="1"/>
  <c r="C31" i="93"/>
  <c r="C58" i="93" s="1"/>
  <c r="E30" i="93"/>
  <c r="G28" i="93"/>
  <c r="E28" i="93"/>
  <c r="E27" i="93"/>
  <c r="G26" i="93"/>
  <c r="E26" i="93"/>
  <c r="E25" i="93"/>
  <c r="G23" i="93"/>
  <c r="E23" i="93"/>
  <c r="E22" i="93"/>
  <c r="G21" i="93"/>
  <c r="E21" i="93"/>
  <c r="E20" i="93"/>
  <c r="G19" i="93"/>
  <c r="E19" i="93"/>
  <c r="G18" i="93"/>
  <c r="E18" i="93"/>
  <c r="E17" i="93"/>
  <c r="G16" i="93"/>
  <c r="E16" i="93"/>
  <c r="G15" i="93"/>
  <c r="G31" i="93" s="1"/>
  <c r="G58" i="93" s="1"/>
  <c r="E15" i="93"/>
  <c r="E13" i="93"/>
  <c r="G45" i="92"/>
  <c r="F45" i="92"/>
  <c r="D45" i="92"/>
  <c r="C45" i="92"/>
  <c r="E44" i="92"/>
  <c r="E43" i="92"/>
  <c r="E45" i="92" s="1"/>
  <c r="G40" i="92"/>
  <c r="F40" i="92"/>
  <c r="D40" i="92"/>
  <c r="C40" i="92"/>
  <c r="E39" i="92"/>
  <c r="E38" i="92"/>
  <c r="E37" i="92"/>
  <c r="E36" i="92"/>
  <c r="E35" i="92"/>
  <c r="E34" i="92"/>
  <c r="G32" i="92"/>
  <c r="F32" i="92"/>
  <c r="D32" i="92"/>
  <c r="C32" i="92"/>
  <c r="G31" i="92"/>
  <c r="E31" i="92"/>
  <c r="E29" i="92"/>
  <c r="E28" i="92"/>
  <c r="E27" i="92"/>
  <c r="E26" i="92"/>
  <c r="E24" i="92"/>
  <c r="E23" i="92"/>
  <c r="E22" i="92"/>
  <c r="E21" i="92"/>
  <c r="E20" i="92"/>
  <c r="E19" i="92"/>
  <c r="E18" i="92"/>
  <c r="E17" i="92"/>
  <c r="E16" i="92"/>
  <c r="E14" i="92"/>
  <c r="E13" i="92"/>
  <c r="G46" i="91"/>
  <c r="F46" i="91"/>
  <c r="E46" i="91"/>
  <c r="D46" i="91"/>
  <c r="C46" i="91"/>
  <c r="G42" i="91"/>
  <c r="D42" i="91"/>
  <c r="C42" i="91"/>
  <c r="F38" i="91"/>
  <c r="F42" i="91" s="1"/>
  <c r="E37" i="91"/>
  <c r="E36" i="91"/>
  <c r="E35" i="91"/>
  <c r="F31" i="91"/>
  <c r="D31" i="91"/>
  <c r="C31" i="91"/>
  <c r="G30" i="91"/>
  <c r="G31" i="91" s="1"/>
  <c r="E28" i="91"/>
  <c r="E27" i="91"/>
  <c r="E26" i="91"/>
  <c r="E25" i="91"/>
  <c r="E22" i="91"/>
  <c r="E21" i="91"/>
  <c r="E20" i="91"/>
  <c r="E18" i="91"/>
  <c r="E17" i="91"/>
  <c r="E16" i="91"/>
  <c r="E15" i="91"/>
  <c r="E13" i="91"/>
  <c r="F41" i="90"/>
  <c r="D41" i="90"/>
  <c r="D43" i="90" s="1"/>
  <c r="C41" i="90"/>
  <c r="E40" i="90"/>
  <c r="E39" i="90"/>
  <c r="E38" i="90"/>
  <c r="E37" i="90"/>
  <c r="G36" i="90"/>
  <c r="G41" i="90" s="1"/>
  <c r="E36" i="90"/>
  <c r="E35" i="90"/>
  <c r="E34" i="90"/>
  <c r="E41" i="90" s="1"/>
  <c r="D32" i="90"/>
  <c r="C32" i="90"/>
  <c r="G31" i="90"/>
  <c r="G29" i="90"/>
  <c r="F29" i="90"/>
  <c r="E29" i="90" s="1"/>
  <c r="F28" i="90"/>
  <c r="E28" i="90" s="1"/>
  <c r="F27" i="90"/>
  <c r="E27" i="90" s="1"/>
  <c r="F26" i="90"/>
  <c r="E26" i="90"/>
  <c r="F23" i="90"/>
  <c r="E23" i="90" s="1"/>
  <c r="G22" i="90"/>
  <c r="G32" i="90" s="1"/>
  <c r="F22" i="90"/>
  <c r="E22" i="90" s="1"/>
  <c r="F21" i="90"/>
  <c r="E21" i="90" s="1"/>
  <c r="E20" i="90"/>
  <c r="F19" i="90"/>
  <c r="F32" i="90" s="1"/>
  <c r="E19" i="90"/>
  <c r="E18" i="90"/>
  <c r="E17" i="90"/>
  <c r="G16" i="90"/>
  <c r="F16" i="90"/>
  <c r="E16" i="90" s="1"/>
  <c r="E14" i="90"/>
  <c r="E13" i="90"/>
  <c r="G40" i="89"/>
  <c r="F40" i="89"/>
  <c r="E40" i="89"/>
  <c r="D40" i="89"/>
  <c r="C40" i="89"/>
  <c r="C41" i="89" s="1"/>
  <c r="J39" i="89"/>
  <c r="I39" i="89"/>
  <c r="G37" i="89"/>
  <c r="F37" i="89"/>
  <c r="E37" i="89"/>
  <c r="D37" i="89"/>
  <c r="C37" i="89"/>
  <c r="G31" i="89"/>
  <c r="G41" i="89" s="1"/>
  <c r="F31" i="89"/>
  <c r="F41" i="89" s="1"/>
  <c r="D31" i="89"/>
  <c r="D41" i="89" s="1"/>
  <c r="C31" i="89"/>
  <c r="E30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3" i="89"/>
  <c r="D108" i="88"/>
  <c r="G107" i="88"/>
  <c r="F107" i="88"/>
  <c r="D107" i="88"/>
  <c r="C107" i="88"/>
  <c r="E106" i="88"/>
  <c r="E107" i="88" s="1"/>
  <c r="K104" i="88"/>
  <c r="G103" i="88"/>
  <c r="F103" i="88"/>
  <c r="E103" i="88"/>
  <c r="D103" i="88"/>
  <c r="C103" i="88"/>
  <c r="G100" i="88"/>
  <c r="J100" i="88" s="1"/>
  <c r="D100" i="88"/>
  <c r="C100" i="88"/>
  <c r="E99" i="88"/>
  <c r="E98" i="88"/>
  <c r="E97" i="88"/>
  <c r="E96" i="88"/>
  <c r="E95" i="88"/>
  <c r="E94" i="88"/>
  <c r="E93" i="88"/>
  <c r="E92" i="88"/>
  <c r="E91" i="88"/>
  <c r="E90" i="88"/>
  <c r="E89" i="88"/>
  <c r="E88" i="88"/>
  <c r="E87" i="88"/>
  <c r="E86" i="88"/>
  <c r="E85" i="88"/>
  <c r="E84" i="88"/>
  <c r="E83" i="88"/>
  <c r="E82" i="88"/>
  <c r="E81" i="88"/>
  <c r="E80" i="88"/>
  <c r="F79" i="88"/>
  <c r="F100" i="88" s="1"/>
  <c r="E78" i="88"/>
  <c r="E77" i="88"/>
  <c r="E76" i="88"/>
  <c r="E65" i="88"/>
  <c r="E64" i="88"/>
  <c r="E63" i="88"/>
  <c r="E62" i="88"/>
  <c r="E61" i="88"/>
  <c r="E53" i="88"/>
  <c r="E48" i="88"/>
  <c r="E47" i="88"/>
  <c r="E46" i="88"/>
  <c r="E44" i="88"/>
  <c r="E43" i="88"/>
  <c r="E42" i="88"/>
  <c r="E41" i="88"/>
  <c r="E40" i="88"/>
  <c r="E39" i="88"/>
  <c r="E38" i="88"/>
  <c r="E37" i="88"/>
  <c r="F35" i="88"/>
  <c r="D35" i="88"/>
  <c r="C35" i="88"/>
  <c r="C108" i="88" s="1"/>
  <c r="G34" i="88"/>
  <c r="G35" i="88" s="1"/>
  <c r="E32" i="88"/>
  <c r="E31" i="88"/>
  <c r="E30" i="88"/>
  <c r="E29" i="88"/>
  <c r="E26" i="88"/>
  <c r="E25" i="88"/>
  <c r="E24" i="88"/>
  <c r="E23" i="88"/>
  <c r="E22" i="88"/>
  <c r="E20" i="88"/>
  <c r="E19" i="88"/>
  <c r="E18" i="88"/>
  <c r="E17" i="88"/>
  <c r="E16" i="88"/>
  <c r="E14" i="88"/>
  <c r="E13" i="88"/>
  <c r="G42" i="87"/>
  <c r="F42" i="87"/>
  <c r="D42" i="87"/>
  <c r="D44" i="87" s="1"/>
  <c r="C42" i="87"/>
  <c r="E40" i="87"/>
  <c r="E39" i="87"/>
  <c r="E38" i="87"/>
  <c r="E37" i="87"/>
  <c r="E36" i="87"/>
  <c r="E35" i="87"/>
  <c r="E34" i="87"/>
  <c r="F32" i="87"/>
  <c r="D32" i="87"/>
  <c r="C32" i="87"/>
  <c r="G31" i="87"/>
  <c r="G32" i="87" s="1"/>
  <c r="E29" i="87"/>
  <c r="E28" i="87"/>
  <c r="E27" i="87"/>
  <c r="E26" i="87"/>
  <c r="E23" i="87"/>
  <c r="E22" i="87"/>
  <c r="E21" i="87"/>
  <c r="E19" i="87"/>
  <c r="E18" i="87"/>
  <c r="E17" i="87"/>
  <c r="E16" i="87"/>
  <c r="E14" i="87"/>
  <c r="E13" i="87"/>
  <c r="G44" i="86"/>
  <c r="F44" i="86"/>
  <c r="J44" i="86" s="1"/>
  <c r="K44" i="86" s="1"/>
  <c r="D44" i="86"/>
  <c r="C44" i="86"/>
  <c r="E43" i="86"/>
  <c r="E42" i="86"/>
  <c r="E41" i="86"/>
  <c r="E40" i="86"/>
  <c r="E38" i="86"/>
  <c r="E37" i="86"/>
  <c r="E44" i="86" s="1"/>
  <c r="E36" i="86"/>
  <c r="E35" i="86"/>
  <c r="E34" i="86"/>
  <c r="J32" i="86"/>
  <c r="G32" i="86"/>
  <c r="G45" i="86" s="1"/>
  <c r="F32" i="86"/>
  <c r="D32" i="86"/>
  <c r="C32" i="86"/>
  <c r="G31" i="86"/>
  <c r="E29" i="86"/>
  <c r="E28" i="86"/>
  <c r="E27" i="86"/>
  <c r="E26" i="86"/>
  <c r="E23" i="86"/>
  <c r="E22" i="86"/>
  <c r="E21" i="86"/>
  <c r="E19" i="86"/>
  <c r="E18" i="86"/>
  <c r="E17" i="86"/>
  <c r="E16" i="86"/>
  <c r="E14" i="86"/>
  <c r="E13" i="86"/>
  <c r="C69" i="85"/>
  <c r="G68" i="85"/>
  <c r="F68" i="85"/>
  <c r="D68" i="85"/>
  <c r="D69" i="85" s="1"/>
  <c r="C68" i="85"/>
  <c r="J59" i="85"/>
  <c r="G56" i="85"/>
  <c r="E56" i="85"/>
  <c r="E68" i="85" s="1"/>
  <c r="G53" i="85"/>
  <c r="F53" i="85"/>
  <c r="J53" i="85" s="1"/>
  <c r="L53" i="85" s="1"/>
  <c r="D53" i="85"/>
  <c r="C53" i="85"/>
  <c r="E51" i="85"/>
  <c r="E50" i="85"/>
  <c r="E49" i="85"/>
  <c r="E48" i="85"/>
  <c r="E47" i="85"/>
  <c r="E46" i="85"/>
  <c r="E44" i="85"/>
  <c r="E43" i="85"/>
  <c r="E42" i="85"/>
  <c r="E41" i="85"/>
  <c r="E39" i="85"/>
  <c r="F35" i="85"/>
  <c r="D35" i="85"/>
  <c r="C35" i="85"/>
  <c r="G32" i="85"/>
  <c r="E32" i="85"/>
  <c r="E31" i="85"/>
  <c r="E30" i="85"/>
  <c r="E29" i="85"/>
  <c r="E26" i="85"/>
  <c r="E25" i="85"/>
  <c r="E24" i="85"/>
  <c r="E23" i="85"/>
  <c r="G21" i="85"/>
  <c r="E21" i="85"/>
  <c r="G20" i="85"/>
  <c r="G35" i="85" s="1"/>
  <c r="E20" i="85"/>
  <c r="E19" i="85"/>
  <c r="E18" i="85"/>
  <c r="E17" i="85"/>
  <c r="E16" i="85"/>
  <c r="E14" i="85"/>
  <c r="E13" i="85"/>
  <c r="G42" i="84"/>
  <c r="K42" i="84" s="1"/>
  <c r="F42" i="84"/>
  <c r="D42" i="84"/>
  <c r="C42" i="84"/>
  <c r="E40" i="84"/>
  <c r="E39" i="84"/>
  <c r="E38" i="84"/>
  <c r="E37" i="84"/>
  <c r="E36" i="84"/>
  <c r="E35" i="84"/>
  <c r="I32" i="84"/>
  <c r="G32" i="84"/>
  <c r="F32" i="84"/>
  <c r="F43" i="84" s="1"/>
  <c r="D32" i="84"/>
  <c r="D43" i="84" s="1"/>
  <c r="C32" i="84"/>
  <c r="C43" i="84" s="1"/>
  <c r="E29" i="84"/>
  <c r="E28" i="84"/>
  <c r="E27" i="84"/>
  <c r="E26" i="84"/>
  <c r="E24" i="84"/>
  <c r="E23" i="84"/>
  <c r="E22" i="84"/>
  <c r="E21" i="84"/>
  <c r="E20" i="84"/>
  <c r="E19" i="84"/>
  <c r="E18" i="84"/>
  <c r="E17" i="84"/>
  <c r="E16" i="84"/>
  <c r="E14" i="84"/>
  <c r="E13" i="84"/>
  <c r="G59" i="83"/>
  <c r="F59" i="83"/>
  <c r="D59" i="83"/>
  <c r="C59" i="83"/>
  <c r="E57" i="83"/>
  <c r="E56" i="83"/>
  <c r="E55" i="83"/>
  <c r="E54" i="83"/>
  <c r="E53" i="83"/>
  <c r="E51" i="83"/>
  <c r="E50" i="83"/>
  <c r="E49" i="83"/>
  <c r="E48" i="83"/>
  <c r="E47" i="83"/>
  <c r="E45" i="83"/>
  <c r="E44" i="83"/>
  <c r="E43" i="83"/>
  <c r="E42" i="83"/>
  <c r="E41" i="83"/>
  <c r="E40" i="83"/>
  <c r="E39" i="83"/>
  <c r="E38" i="83"/>
  <c r="E37" i="83"/>
  <c r="E36" i="83"/>
  <c r="E35" i="83"/>
  <c r="G33" i="83"/>
  <c r="F33" i="83"/>
  <c r="F61" i="83" s="1"/>
  <c r="D33" i="83"/>
  <c r="C33" i="83"/>
  <c r="G32" i="83"/>
  <c r="E30" i="83"/>
  <c r="E29" i="83"/>
  <c r="E28" i="83"/>
  <c r="E27" i="83"/>
  <c r="E24" i="83"/>
  <c r="E23" i="83"/>
  <c r="E22" i="83"/>
  <c r="E21" i="83"/>
  <c r="E20" i="83"/>
  <c r="E19" i="83"/>
  <c r="E18" i="83"/>
  <c r="E17" i="83"/>
  <c r="E16" i="83"/>
  <c r="E14" i="83"/>
  <c r="E13" i="83"/>
  <c r="E33" i="83" s="1"/>
  <c r="G58" i="82"/>
  <c r="F58" i="82"/>
  <c r="E58" i="82"/>
  <c r="D58" i="82"/>
  <c r="C58" i="82"/>
  <c r="D55" i="82"/>
  <c r="D59" i="82" s="1"/>
  <c r="C55" i="82"/>
  <c r="E52" i="82"/>
  <c r="E51" i="82"/>
  <c r="E50" i="82"/>
  <c r="E49" i="82"/>
  <c r="E48" i="82"/>
  <c r="E47" i="82"/>
  <c r="E46" i="82"/>
  <c r="E45" i="82"/>
  <c r="E44" i="82"/>
  <c r="E43" i="82"/>
  <c r="E42" i="82"/>
  <c r="E41" i="82"/>
  <c r="G40" i="82"/>
  <c r="G55" i="82" s="1"/>
  <c r="F40" i="82"/>
  <c r="E40" i="82" s="1"/>
  <c r="E39" i="82"/>
  <c r="E38" i="82"/>
  <c r="F37" i="82"/>
  <c r="E37" i="82" s="1"/>
  <c r="E36" i="82"/>
  <c r="E35" i="82"/>
  <c r="E34" i="82"/>
  <c r="F32" i="82"/>
  <c r="D32" i="82"/>
  <c r="C32" i="82"/>
  <c r="G31" i="82"/>
  <c r="G32" i="82" s="1"/>
  <c r="E29" i="82"/>
  <c r="E28" i="82"/>
  <c r="E27" i="82"/>
  <c r="E26" i="82"/>
  <c r="E23" i="82"/>
  <c r="E22" i="82"/>
  <c r="E21" i="82"/>
  <c r="E19" i="82"/>
  <c r="E18" i="82"/>
  <c r="E17" i="82"/>
  <c r="E16" i="82"/>
  <c r="E14" i="82"/>
  <c r="E13" i="82"/>
  <c r="G51" i="81"/>
  <c r="F51" i="81"/>
  <c r="D51" i="81"/>
  <c r="D52" i="81" s="1"/>
  <c r="C51" i="81"/>
  <c r="C52" i="81" s="1"/>
  <c r="E50" i="81"/>
  <c r="E51" i="81" s="1"/>
  <c r="G47" i="81"/>
  <c r="F47" i="81"/>
  <c r="F52" i="81" s="1"/>
  <c r="D47" i="81"/>
  <c r="C47" i="81"/>
  <c r="E44" i="81"/>
  <c r="E42" i="81"/>
  <c r="E41" i="81"/>
  <c r="E40" i="81"/>
  <c r="E39" i="81"/>
  <c r="E38" i="81"/>
  <c r="E37" i="81"/>
  <c r="E36" i="81"/>
  <c r="E35" i="81"/>
  <c r="F33" i="81"/>
  <c r="D33" i="81"/>
  <c r="C33" i="81"/>
  <c r="G32" i="81"/>
  <c r="G33" i="81" s="1"/>
  <c r="E32" i="81"/>
  <c r="E30" i="81"/>
  <c r="E29" i="81"/>
  <c r="E28" i="81"/>
  <c r="E27" i="81"/>
  <c r="E25" i="81"/>
  <c r="E24" i="81"/>
  <c r="E23" i="81"/>
  <c r="E22" i="81"/>
  <c r="E21" i="81"/>
  <c r="E19" i="81"/>
  <c r="E18" i="81"/>
  <c r="E17" i="81"/>
  <c r="E16" i="81"/>
  <c r="E14" i="81"/>
  <c r="E13" i="81"/>
  <c r="G41" i="80"/>
  <c r="F41" i="80"/>
  <c r="D41" i="80"/>
  <c r="C41" i="80"/>
  <c r="E38" i="80"/>
  <c r="E37" i="80"/>
  <c r="E36" i="80"/>
  <c r="E35" i="80"/>
  <c r="E41" i="80" s="1"/>
  <c r="G33" i="80"/>
  <c r="G42" i="80" s="1"/>
  <c r="F33" i="80"/>
  <c r="F42" i="80" s="1"/>
  <c r="D33" i="80"/>
  <c r="D42" i="80" s="1"/>
  <c r="C33" i="80"/>
  <c r="C42" i="80" s="1"/>
  <c r="E30" i="80"/>
  <c r="E29" i="80"/>
  <c r="E28" i="80"/>
  <c r="E27" i="80"/>
  <c r="E24" i="80"/>
  <c r="E23" i="80"/>
  <c r="E22" i="80"/>
  <c r="E21" i="80"/>
  <c r="E20" i="80"/>
  <c r="E19" i="80"/>
  <c r="E18" i="80"/>
  <c r="E17" i="80"/>
  <c r="E16" i="80"/>
  <c r="E14" i="80"/>
  <c r="E13" i="80"/>
  <c r="D79" i="79"/>
  <c r="G78" i="79"/>
  <c r="F78" i="79"/>
  <c r="D78" i="79"/>
  <c r="C78" i="79"/>
  <c r="C79" i="79" s="1"/>
  <c r="E77" i="79"/>
  <c r="E76" i="79"/>
  <c r="E78" i="79" s="1"/>
  <c r="D74" i="79"/>
  <c r="C74" i="79"/>
  <c r="E55" i="79"/>
  <c r="E54" i="79"/>
  <c r="E53" i="79"/>
  <c r="E52" i="79"/>
  <c r="E51" i="79"/>
  <c r="E50" i="79"/>
  <c r="E49" i="79"/>
  <c r="E48" i="79"/>
  <c r="E47" i="79"/>
  <c r="E46" i="79"/>
  <c r="E45" i="79"/>
  <c r="E43" i="79"/>
  <c r="E41" i="79"/>
  <c r="E40" i="79"/>
  <c r="G39" i="79"/>
  <c r="G74" i="79" s="1"/>
  <c r="E39" i="79"/>
  <c r="E38" i="79"/>
  <c r="E37" i="79"/>
  <c r="F36" i="79"/>
  <c r="E36" i="79" s="1"/>
  <c r="E35" i="79"/>
  <c r="E34" i="79"/>
  <c r="G32" i="79"/>
  <c r="F32" i="79"/>
  <c r="D32" i="79"/>
  <c r="C32" i="79"/>
  <c r="E29" i="79"/>
  <c r="E28" i="79"/>
  <c r="E27" i="79"/>
  <c r="E26" i="79"/>
  <c r="E23" i="79"/>
  <c r="E22" i="79"/>
  <c r="E21" i="79"/>
  <c r="E19" i="79"/>
  <c r="E18" i="79"/>
  <c r="E17" i="79"/>
  <c r="E16" i="79"/>
  <c r="E14" i="79"/>
  <c r="E13" i="79"/>
  <c r="D46" i="78"/>
  <c r="C46" i="78"/>
  <c r="E45" i="78"/>
  <c r="E44" i="78"/>
  <c r="E43" i="78"/>
  <c r="E40" i="78"/>
  <c r="G39" i="78"/>
  <c r="G46" i="78" s="1"/>
  <c r="F39" i="78"/>
  <c r="E39" i="78" s="1"/>
  <c r="E38" i="78"/>
  <c r="E36" i="78"/>
  <c r="E35" i="78"/>
  <c r="G33" i="78"/>
  <c r="F33" i="78"/>
  <c r="D33" i="78"/>
  <c r="D47" i="78" s="1"/>
  <c r="C33" i="78"/>
  <c r="C47" i="78" s="1"/>
  <c r="E32" i="78"/>
  <c r="E30" i="78"/>
  <c r="E33" i="78" s="1"/>
  <c r="E29" i="78"/>
  <c r="E28" i="78"/>
  <c r="E27" i="78"/>
  <c r="E25" i="78"/>
  <c r="E24" i="78"/>
  <c r="E23" i="78"/>
  <c r="E22" i="78"/>
  <c r="E21" i="78"/>
  <c r="E19" i="78"/>
  <c r="E18" i="78"/>
  <c r="E17" i="78"/>
  <c r="E16" i="78"/>
  <c r="E14" i="78"/>
  <c r="E13" i="78"/>
  <c r="G53" i="77"/>
  <c r="F53" i="77"/>
  <c r="D53" i="77"/>
  <c r="C53" i="77"/>
  <c r="E52" i="77"/>
  <c r="E53" i="77" s="1"/>
  <c r="G50" i="77"/>
  <c r="G54" i="77" s="1"/>
  <c r="F50" i="77"/>
  <c r="D50" i="77"/>
  <c r="C50" i="77"/>
  <c r="E49" i="77"/>
  <c r="E44" i="77"/>
  <c r="E42" i="77"/>
  <c r="E41" i="77"/>
  <c r="E40" i="77"/>
  <c r="E39" i="77"/>
  <c r="E38" i="77"/>
  <c r="E37" i="77"/>
  <c r="E36" i="77"/>
  <c r="E35" i="77"/>
  <c r="E50" i="77" s="1"/>
  <c r="G32" i="77"/>
  <c r="F32" i="77"/>
  <c r="D32" i="77"/>
  <c r="D54" i="77" s="1"/>
  <c r="C32" i="77"/>
  <c r="E29" i="77"/>
  <c r="E28" i="77"/>
  <c r="E27" i="77"/>
  <c r="E26" i="77"/>
  <c r="E23" i="77"/>
  <c r="E22" i="77"/>
  <c r="E21" i="77"/>
  <c r="E19" i="77"/>
  <c r="E18" i="77"/>
  <c r="E17" i="77"/>
  <c r="E16" i="77"/>
  <c r="E14" i="77"/>
  <c r="E13" i="77"/>
  <c r="G68" i="76"/>
  <c r="F68" i="76"/>
  <c r="F69" i="76" s="1"/>
  <c r="D68" i="76"/>
  <c r="C68" i="76"/>
  <c r="C69" i="76" s="1"/>
  <c r="E66" i="76"/>
  <c r="E68" i="76" s="1"/>
  <c r="E65" i="76"/>
  <c r="E64" i="76"/>
  <c r="I62" i="76"/>
  <c r="G62" i="76"/>
  <c r="G69" i="76" s="1"/>
  <c r="F62" i="76"/>
  <c r="D62" i="76"/>
  <c r="C62" i="76"/>
  <c r="E59" i="76"/>
  <c r="E58" i="76"/>
  <c r="E57" i="76"/>
  <c r="E56" i="76"/>
  <c r="E55" i="76"/>
  <c r="E54" i="76"/>
  <c r="E53" i="76"/>
  <c r="E52" i="76"/>
  <c r="E51" i="76"/>
  <c r="E49" i="76"/>
  <c r="E48" i="76"/>
  <c r="E47" i="76"/>
  <c r="G44" i="76"/>
  <c r="E44" i="76"/>
  <c r="E43" i="76"/>
  <c r="E42" i="76"/>
  <c r="E41" i="76"/>
  <c r="E40" i="76"/>
  <c r="E39" i="76"/>
  <c r="E38" i="76"/>
  <c r="E37" i="76"/>
  <c r="E36" i="76"/>
  <c r="E34" i="76"/>
  <c r="G32" i="76"/>
  <c r="F32" i="76"/>
  <c r="D32" i="76"/>
  <c r="C32" i="76"/>
  <c r="E29" i="76"/>
  <c r="E28" i="76"/>
  <c r="E27" i="76"/>
  <c r="E26" i="76"/>
  <c r="E23" i="76"/>
  <c r="E22" i="76"/>
  <c r="E21" i="76"/>
  <c r="E19" i="76"/>
  <c r="E18" i="76"/>
  <c r="E17" i="76"/>
  <c r="E16" i="76"/>
  <c r="E14" i="76"/>
  <c r="E13" i="76"/>
  <c r="G51" i="75"/>
  <c r="F51" i="75"/>
  <c r="E51" i="75"/>
  <c r="D51" i="75"/>
  <c r="C51" i="75"/>
  <c r="F48" i="75"/>
  <c r="E48" i="75"/>
  <c r="D48" i="75"/>
  <c r="D52" i="75" s="1"/>
  <c r="D53" i="75" s="1"/>
  <c r="C48" i="75"/>
  <c r="C52" i="75" s="1"/>
  <c r="C53" i="75" s="1"/>
  <c r="E47" i="75"/>
  <c r="G42" i="75"/>
  <c r="F42" i="75"/>
  <c r="D42" i="75"/>
  <c r="C42" i="75"/>
  <c r="E41" i="75"/>
  <c r="E40" i="75"/>
  <c r="E42" i="75" s="1"/>
  <c r="G38" i="75"/>
  <c r="F38" i="75"/>
  <c r="D38" i="75"/>
  <c r="C38" i="75"/>
  <c r="E37" i="75"/>
  <c r="E36" i="75"/>
  <c r="E35" i="75"/>
  <c r="D33" i="75"/>
  <c r="C33" i="75"/>
  <c r="E32" i="75"/>
  <c r="E30" i="75"/>
  <c r="E29" i="75"/>
  <c r="E28" i="75"/>
  <c r="E27" i="75"/>
  <c r="E25" i="75"/>
  <c r="E24" i="75"/>
  <c r="G23" i="75"/>
  <c r="F23" i="75"/>
  <c r="E23" i="75" s="1"/>
  <c r="E22" i="75"/>
  <c r="E21" i="75"/>
  <c r="G20" i="75"/>
  <c r="F20" i="75"/>
  <c r="F33" i="75" s="1"/>
  <c r="E19" i="75"/>
  <c r="E18" i="75"/>
  <c r="E17" i="75"/>
  <c r="E16" i="75"/>
  <c r="E13" i="75"/>
  <c r="G56" i="74"/>
  <c r="F56" i="74"/>
  <c r="D56" i="74"/>
  <c r="D57" i="74" s="1"/>
  <c r="C56" i="74"/>
  <c r="C57" i="74" s="1"/>
  <c r="E54" i="74"/>
  <c r="E51" i="74"/>
  <c r="E50" i="74"/>
  <c r="F49" i="74"/>
  <c r="E49" i="74"/>
  <c r="E48" i="74"/>
  <c r="E46" i="74"/>
  <c r="E44" i="74"/>
  <c r="E42" i="74"/>
  <c r="E41" i="74"/>
  <c r="E40" i="74"/>
  <c r="E39" i="74"/>
  <c r="E38" i="74"/>
  <c r="E37" i="74"/>
  <c r="E36" i="74"/>
  <c r="E35" i="74"/>
  <c r="E34" i="74"/>
  <c r="G32" i="74"/>
  <c r="F32" i="74"/>
  <c r="D32" i="74"/>
  <c r="C32" i="74"/>
  <c r="E29" i="74"/>
  <c r="E28" i="74"/>
  <c r="E27" i="74"/>
  <c r="E26" i="74"/>
  <c r="E23" i="74"/>
  <c r="E22" i="74"/>
  <c r="E21" i="74"/>
  <c r="E19" i="74"/>
  <c r="E18" i="74"/>
  <c r="E17" i="74"/>
  <c r="E16" i="74"/>
  <c r="E14" i="74"/>
  <c r="E13" i="74"/>
  <c r="G48" i="73"/>
  <c r="F48" i="73"/>
  <c r="D48" i="73"/>
  <c r="C48" i="73"/>
  <c r="E47" i="73"/>
  <c r="E48" i="73" s="1"/>
  <c r="G44" i="73"/>
  <c r="F44" i="73"/>
  <c r="D44" i="73"/>
  <c r="D49" i="73" s="1"/>
  <c r="C44" i="73"/>
  <c r="E43" i="73"/>
  <c r="E42" i="73"/>
  <c r="E41" i="73"/>
  <c r="E40" i="73"/>
  <c r="E38" i="73"/>
  <c r="E37" i="73"/>
  <c r="E36" i="73"/>
  <c r="E35" i="73"/>
  <c r="E34" i="73"/>
  <c r="E33" i="73"/>
  <c r="E32" i="73"/>
  <c r="G30" i="73"/>
  <c r="F30" i="73"/>
  <c r="D30" i="73"/>
  <c r="C30" i="73"/>
  <c r="E27" i="73"/>
  <c r="E26" i="73"/>
  <c r="E25" i="73"/>
  <c r="E24" i="73"/>
  <c r="E21" i="73"/>
  <c r="E20" i="73"/>
  <c r="E19" i="73"/>
  <c r="E17" i="73"/>
  <c r="E16" i="73"/>
  <c r="E14" i="73"/>
  <c r="E13" i="73"/>
  <c r="G35" i="72"/>
  <c r="F35" i="72"/>
  <c r="D35" i="72"/>
  <c r="D36" i="72" s="1"/>
  <c r="C35" i="72"/>
  <c r="C36" i="72" s="1"/>
  <c r="E34" i="72"/>
  <c r="E33" i="72"/>
  <c r="E35" i="72" s="1"/>
  <c r="G31" i="72"/>
  <c r="G36" i="72" s="1"/>
  <c r="F31" i="72"/>
  <c r="D31" i="72"/>
  <c r="C31" i="72"/>
  <c r="E28" i="72"/>
  <c r="E27" i="72"/>
  <c r="E26" i="72"/>
  <c r="E25" i="72"/>
  <c r="E22" i="72"/>
  <c r="E21" i="72"/>
  <c r="E20" i="72"/>
  <c r="E19" i="72"/>
  <c r="E18" i="72"/>
  <c r="E17" i="72"/>
  <c r="E16" i="72"/>
  <c r="E14" i="72"/>
  <c r="E13" i="72"/>
  <c r="G38" i="71"/>
  <c r="F38" i="71"/>
  <c r="D38" i="71"/>
  <c r="C38" i="71"/>
  <c r="C40" i="71" s="1"/>
  <c r="E37" i="71"/>
  <c r="E36" i="71"/>
  <c r="E33" i="71"/>
  <c r="E32" i="71"/>
  <c r="E31" i="71"/>
  <c r="F29" i="71"/>
  <c r="D29" i="71"/>
  <c r="C29" i="71"/>
  <c r="G28" i="71"/>
  <c r="G29" i="71" s="1"/>
  <c r="E26" i="71"/>
  <c r="E25" i="71"/>
  <c r="E24" i="71"/>
  <c r="E23" i="71"/>
  <c r="E20" i="71"/>
  <c r="E19" i="71"/>
  <c r="E18" i="71"/>
  <c r="E16" i="71"/>
  <c r="E15" i="71"/>
  <c r="E13" i="71"/>
  <c r="E29" i="71" s="1"/>
  <c r="G43" i="70"/>
  <c r="F43" i="70"/>
  <c r="E43" i="70"/>
  <c r="D43" i="70"/>
  <c r="C43" i="70"/>
  <c r="C44" i="70" s="1"/>
  <c r="G36" i="70"/>
  <c r="F36" i="70"/>
  <c r="D36" i="70"/>
  <c r="C36" i="70"/>
  <c r="E35" i="70"/>
  <c r="E34" i="70"/>
  <c r="E33" i="70"/>
  <c r="E32" i="70"/>
  <c r="G30" i="70"/>
  <c r="F30" i="70"/>
  <c r="D30" i="70"/>
  <c r="C30" i="70"/>
  <c r="E27" i="70"/>
  <c r="E26" i="70"/>
  <c r="E25" i="70"/>
  <c r="E24" i="70"/>
  <c r="E21" i="70"/>
  <c r="E20" i="70"/>
  <c r="E19" i="70"/>
  <c r="E18" i="70"/>
  <c r="E17" i="70"/>
  <c r="E16" i="70"/>
  <c r="E14" i="70"/>
  <c r="E13" i="70"/>
  <c r="D58" i="69"/>
  <c r="F57" i="69"/>
  <c r="D57" i="69"/>
  <c r="C57" i="69"/>
  <c r="G55" i="69"/>
  <c r="G57" i="69" s="1"/>
  <c r="E54" i="69"/>
  <c r="E57" i="69" s="1"/>
  <c r="G51" i="69"/>
  <c r="F51" i="69"/>
  <c r="E50" i="69"/>
  <c r="E49" i="69"/>
  <c r="E51" i="69" s="1"/>
  <c r="G47" i="69"/>
  <c r="F47" i="69"/>
  <c r="D47" i="69"/>
  <c r="C47" i="69"/>
  <c r="E46" i="69"/>
  <c r="E44" i="69"/>
  <c r="E43" i="69"/>
  <c r="E41" i="69"/>
  <c r="E40" i="69"/>
  <c r="E39" i="69"/>
  <c r="E38" i="69"/>
  <c r="E37" i="69"/>
  <c r="E36" i="69"/>
  <c r="E35" i="69"/>
  <c r="E34" i="69"/>
  <c r="G32" i="69"/>
  <c r="F32" i="69"/>
  <c r="D32" i="69"/>
  <c r="C32" i="69"/>
  <c r="E29" i="69"/>
  <c r="E28" i="69"/>
  <c r="E27" i="69"/>
  <c r="E26" i="69"/>
  <c r="E25" i="69"/>
  <c r="E23" i="69"/>
  <c r="E22" i="69"/>
  <c r="E21" i="69"/>
  <c r="E20" i="69"/>
  <c r="E19" i="69"/>
  <c r="E18" i="69"/>
  <c r="E17" i="69"/>
  <c r="E16" i="69"/>
  <c r="E15" i="69"/>
  <c r="E14" i="69"/>
  <c r="E13" i="69"/>
  <c r="G43" i="68"/>
  <c r="F43" i="68"/>
  <c r="D43" i="68"/>
  <c r="C43" i="68"/>
  <c r="C44" i="68" s="1"/>
  <c r="E41" i="68"/>
  <c r="E38" i="68"/>
  <c r="E37" i="68"/>
  <c r="E36" i="68"/>
  <c r="E35" i="68"/>
  <c r="E34" i="68"/>
  <c r="E32" i="68"/>
  <c r="E31" i="68"/>
  <c r="F29" i="68"/>
  <c r="D29" i="68"/>
  <c r="C29" i="68"/>
  <c r="E26" i="68"/>
  <c r="E25" i="68"/>
  <c r="E24" i="68"/>
  <c r="E23" i="68"/>
  <c r="G21" i="68"/>
  <c r="G29" i="68" s="1"/>
  <c r="E20" i="68"/>
  <c r="E19" i="68"/>
  <c r="E18" i="68"/>
  <c r="E16" i="68"/>
  <c r="E15" i="68"/>
  <c r="E13" i="68"/>
  <c r="G41" i="67"/>
  <c r="F41" i="67"/>
  <c r="D41" i="67"/>
  <c r="C41" i="67"/>
  <c r="E40" i="67"/>
  <c r="E38" i="67"/>
  <c r="E37" i="67"/>
  <c r="E36" i="67"/>
  <c r="E35" i="67"/>
  <c r="E34" i="67"/>
  <c r="E33" i="67"/>
  <c r="G30" i="67"/>
  <c r="F30" i="67"/>
  <c r="D30" i="67"/>
  <c r="D42" i="67" s="1"/>
  <c r="C30" i="67"/>
  <c r="E27" i="67"/>
  <c r="E26" i="67"/>
  <c r="E25" i="67"/>
  <c r="E24" i="67"/>
  <c r="E21" i="67"/>
  <c r="E20" i="67"/>
  <c r="E19" i="67"/>
  <c r="E17" i="67"/>
  <c r="E16" i="67"/>
  <c r="E14" i="67"/>
  <c r="E13" i="67"/>
  <c r="F59" i="66"/>
  <c r="G58" i="66"/>
  <c r="F58" i="66"/>
  <c r="D58" i="66"/>
  <c r="C58" i="66"/>
  <c r="E54" i="66"/>
  <c r="E53" i="66"/>
  <c r="E52" i="66"/>
  <c r="E51" i="66"/>
  <c r="E50" i="66"/>
  <c r="E49" i="66"/>
  <c r="E48" i="66"/>
  <c r="E47" i="66"/>
  <c r="E46" i="66"/>
  <c r="E45" i="66"/>
  <c r="E44" i="66"/>
  <c r="E43" i="66"/>
  <c r="E41" i="66"/>
  <c r="E37" i="66"/>
  <c r="E36" i="66"/>
  <c r="E35" i="66"/>
  <c r="E34" i="66"/>
  <c r="E33" i="66"/>
  <c r="E32" i="66"/>
  <c r="G30" i="66"/>
  <c r="F30" i="66"/>
  <c r="D30" i="66"/>
  <c r="D59" i="66" s="1"/>
  <c r="C30" i="66"/>
  <c r="C59" i="66" s="1"/>
  <c r="E27" i="66"/>
  <c r="E26" i="66"/>
  <c r="E25" i="66"/>
  <c r="E24" i="66"/>
  <c r="E21" i="66"/>
  <c r="E20" i="66"/>
  <c r="E19" i="66"/>
  <c r="E17" i="66"/>
  <c r="E16" i="66"/>
  <c r="E14" i="66"/>
  <c r="E13" i="66"/>
  <c r="C46" i="65"/>
  <c r="F45" i="65"/>
  <c r="D45" i="65"/>
  <c r="C45" i="65"/>
  <c r="E43" i="65"/>
  <c r="C42" i="65"/>
  <c r="E40" i="65"/>
  <c r="G39" i="65"/>
  <c r="G45" i="65" s="1"/>
  <c r="E38" i="65"/>
  <c r="E37" i="65"/>
  <c r="E36" i="65"/>
  <c r="E35" i="65"/>
  <c r="E34" i="65"/>
  <c r="G32" i="65"/>
  <c r="G46" i="65" s="1"/>
  <c r="F32" i="65"/>
  <c r="F46" i="65" s="1"/>
  <c r="D32" i="65"/>
  <c r="D46" i="65" s="1"/>
  <c r="C32" i="65"/>
  <c r="E29" i="65"/>
  <c r="E28" i="65"/>
  <c r="E27" i="65"/>
  <c r="E26" i="65"/>
  <c r="E23" i="65"/>
  <c r="E22" i="65"/>
  <c r="E21" i="65"/>
  <c r="E20" i="65"/>
  <c r="E19" i="65"/>
  <c r="E17" i="65"/>
  <c r="E16" i="65"/>
  <c r="E14" i="65"/>
  <c r="E13" i="65"/>
  <c r="G50" i="64"/>
  <c r="F50" i="64"/>
  <c r="F51" i="64" s="1"/>
  <c r="D50" i="64"/>
  <c r="C50" i="64"/>
  <c r="C51" i="64" s="1"/>
  <c r="E49" i="64"/>
  <c r="E47" i="64"/>
  <c r="E46" i="64"/>
  <c r="E45" i="64"/>
  <c r="E44" i="64"/>
  <c r="E43" i="64"/>
  <c r="E42" i="64"/>
  <c r="E40" i="64"/>
  <c r="E39" i="64"/>
  <c r="E38" i="64"/>
  <c r="E37" i="64"/>
  <c r="E36" i="64"/>
  <c r="E35" i="64"/>
  <c r="E34" i="64"/>
  <c r="E33" i="64"/>
  <c r="E32" i="64"/>
  <c r="G30" i="64"/>
  <c r="G51" i="64" s="1"/>
  <c r="F30" i="64"/>
  <c r="D30" i="64"/>
  <c r="C30" i="64"/>
  <c r="E27" i="64"/>
  <c r="E26" i="64"/>
  <c r="E25" i="64"/>
  <c r="E24" i="64"/>
  <c r="E21" i="64"/>
  <c r="E20" i="64"/>
  <c r="E19" i="64"/>
  <c r="E17" i="64"/>
  <c r="E16" i="64"/>
  <c r="E14" i="64"/>
  <c r="E13" i="64"/>
  <c r="G41" i="63"/>
  <c r="D41" i="63"/>
  <c r="C41" i="63"/>
  <c r="E39" i="63"/>
  <c r="E37" i="63"/>
  <c r="F36" i="63"/>
  <c r="F41" i="63" s="1"/>
  <c r="E36" i="63"/>
  <c r="E35" i="63"/>
  <c r="E34" i="63"/>
  <c r="E33" i="63"/>
  <c r="E32" i="63"/>
  <c r="E41" i="63" s="1"/>
  <c r="G30" i="63"/>
  <c r="F30" i="63"/>
  <c r="D30" i="63"/>
  <c r="D42" i="63" s="1"/>
  <c r="C30" i="63"/>
  <c r="C42" i="63" s="1"/>
  <c r="E27" i="63"/>
  <c r="E26" i="63"/>
  <c r="E25" i="63"/>
  <c r="E24" i="63"/>
  <c r="E21" i="63"/>
  <c r="E20" i="63"/>
  <c r="E19" i="63"/>
  <c r="E17" i="63"/>
  <c r="E16" i="63"/>
  <c r="E14" i="63"/>
  <c r="E13" i="63"/>
  <c r="G50" i="62"/>
  <c r="F50" i="62"/>
  <c r="D50" i="62"/>
  <c r="D52" i="62" s="1"/>
  <c r="C50" i="62"/>
  <c r="E49" i="62"/>
  <c r="E48" i="62"/>
  <c r="E47" i="62"/>
  <c r="E46" i="62"/>
  <c r="E45" i="62"/>
  <c r="E44" i="62"/>
  <c r="E42" i="62"/>
  <c r="E41" i="62"/>
  <c r="E40" i="62"/>
  <c r="E39" i="62"/>
  <c r="E38" i="62"/>
  <c r="E37" i="62"/>
  <c r="E36" i="62"/>
  <c r="E35" i="62"/>
  <c r="E34" i="62"/>
  <c r="G32" i="62"/>
  <c r="F32" i="62"/>
  <c r="F52" i="62" s="1"/>
  <c r="D32" i="62"/>
  <c r="C32" i="62"/>
  <c r="E29" i="62"/>
  <c r="E28" i="62"/>
  <c r="E27" i="62"/>
  <c r="E26" i="62"/>
  <c r="E23" i="62"/>
  <c r="E22" i="62"/>
  <c r="E21" i="62"/>
  <c r="E18" i="62"/>
  <c r="E17" i="62"/>
  <c r="E16" i="62"/>
  <c r="E15" i="62"/>
  <c r="E13" i="62"/>
  <c r="E12" i="62"/>
  <c r="G47" i="61"/>
  <c r="F47" i="61"/>
  <c r="E47" i="61"/>
  <c r="D47" i="61"/>
  <c r="C47" i="61"/>
  <c r="G44" i="61"/>
  <c r="F44" i="61"/>
  <c r="F48" i="61" s="1"/>
  <c r="D44" i="61"/>
  <c r="D48" i="61" s="1"/>
  <c r="C44" i="61"/>
  <c r="E43" i="61"/>
  <c r="E41" i="61"/>
  <c r="E39" i="61"/>
  <c r="E38" i="61"/>
  <c r="E37" i="61"/>
  <c r="E35" i="61"/>
  <c r="F32" i="61"/>
  <c r="D32" i="61"/>
  <c r="C32" i="61"/>
  <c r="G29" i="61"/>
  <c r="G32" i="61" s="1"/>
  <c r="E29" i="61"/>
  <c r="E28" i="61"/>
  <c r="E27" i="61"/>
  <c r="E26" i="61"/>
  <c r="E23" i="61"/>
  <c r="E22" i="61"/>
  <c r="E21" i="61"/>
  <c r="E18" i="61"/>
  <c r="E17" i="61"/>
  <c r="E16" i="61"/>
  <c r="E15" i="61"/>
  <c r="E13" i="61"/>
  <c r="F45" i="60"/>
  <c r="F44" i="60"/>
  <c r="D44" i="60"/>
  <c r="C44" i="60"/>
  <c r="E43" i="60"/>
  <c r="E44" i="60" s="1"/>
  <c r="G41" i="60"/>
  <c r="F41" i="60"/>
  <c r="D41" i="60"/>
  <c r="E39" i="60"/>
  <c r="E38" i="60"/>
  <c r="C37" i="60"/>
  <c r="C41" i="60" s="1"/>
  <c r="E34" i="60"/>
  <c r="E33" i="60"/>
  <c r="E41" i="60" s="1"/>
  <c r="G29" i="60"/>
  <c r="F29" i="60"/>
  <c r="D29" i="60"/>
  <c r="C29" i="60"/>
  <c r="E26" i="60"/>
  <c r="E25" i="60"/>
  <c r="E24" i="60"/>
  <c r="E23" i="60"/>
  <c r="E20" i="60"/>
  <c r="E19" i="60"/>
  <c r="E18" i="60"/>
  <c r="E16" i="60"/>
  <c r="E15" i="60"/>
  <c r="E13" i="60"/>
  <c r="F63" i="59"/>
  <c r="F64" i="59" s="1"/>
  <c r="D63" i="59"/>
  <c r="C63" i="59"/>
  <c r="G60" i="59"/>
  <c r="G63" i="59" s="1"/>
  <c r="E59" i="59"/>
  <c r="E63" i="59" s="1"/>
  <c r="F56" i="59"/>
  <c r="D56" i="59"/>
  <c r="C56" i="59"/>
  <c r="G55" i="59"/>
  <c r="G52" i="59"/>
  <c r="G49" i="59"/>
  <c r="G56" i="59" s="1"/>
  <c r="E47" i="59"/>
  <c r="E56" i="59" s="1"/>
  <c r="E45" i="59"/>
  <c r="G41" i="59"/>
  <c r="F41" i="59"/>
  <c r="D41" i="59"/>
  <c r="C41" i="59"/>
  <c r="E40" i="59"/>
  <c r="E38" i="59"/>
  <c r="E37" i="59"/>
  <c r="E36" i="59"/>
  <c r="E34" i="59"/>
  <c r="G32" i="59"/>
  <c r="F32" i="59"/>
  <c r="D32" i="59"/>
  <c r="C32" i="59"/>
  <c r="E29" i="59"/>
  <c r="E28" i="59"/>
  <c r="E27" i="59"/>
  <c r="E26" i="59"/>
  <c r="E23" i="59"/>
  <c r="E22" i="59"/>
  <c r="E21" i="59"/>
  <c r="E19" i="59"/>
  <c r="E18" i="59"/>
  <c r="E17" i="59"/>
  <c r="E16" i="59"/>
  <c r="E13" i="59"/>
  <c r="G53" i="58"/>
  <c r="G54" i="58" s="1"/>
  <c r="F53" i="58"/>
  <c r="D53" i="58"/>
  <c r="D54" i="58" s="1"/>
  <c r="C53" i="58"/>
  <c r="C54" i="58" s="1"/>
  <c r="E52" i="58"/>
  <c r="E51" i="58"/>
  <c r="E50" i="58"/>
  <c r="E49" i="58"/>
  <c r="E48" i="58"/>
  <c r="E47" i="58"/>
  <c r="E46" i="58"/>
  <c r="E45" i="58"/>
  <c r="E44" i="58"/>
  <c r="E53" i="58" s="1"/>
  <c r="G42" i="58"/>
  <c r="F42" i="58"/>
  <c r="D42" i="58"/>
  <c r="C42" i="58"/>
  <c r="E38" i="58"/>
  <c r="E35" i="58"/>
  <c r="E42" i="58" s="1"/>
  <c r="G32" i="58"/>
  <c r="F32" i="58"/>
  <c r="D32" i="58"/>
  <c r="C32" i="58"/>
  <c r="E29" i="58"/>
  <c r="E28" i="58"/>
  <c r="E27" i="58"/>
  <c r="E26" i="58"/>
  <c r="E23" i="58"/>
  <c r="E22" i="58"/>
  <c r="E21" i="58"/>
  <c r="E20" i="58"/>
  <c r="E19" i="58"/>
  <c r="E18" i="58"/>
  <c r="E17" i="58"/>
  <c r="E16" i="58"/>
  <c r="E14" i="58"/>
  <c r="E13" i="58"/>
  <c r="G38" i="57"/>
  <c r="F38" i="57"/>
  <c r="D38" i="57"/>
  <c r="C38" i="57"/>
  <c r="E37" i="57"/>
  <c r="E36" i="57"/>
  <c r="E35" i="57"/>
  <c r="E38" i="57" s="1"/>
  <c r="G31" i="57"/>
  <c r="G39" i="57" s="1"/>
  <c r="F31" i="57"/>
  <c r="F39" i="57" s="1"/>
  <c r="D31" i="57"/>
  <c r="D39" i="57" s="1"/>
  <c r="C31" i="57"/>
  <c r="C39" i="57" s="1"/>
  <c r="E28" i="57"/>
  <c r="E27" i="57"/>
  <c r="E26" i="57"/>
  <c r="E25" i="57"/>
  <c r="E22" i="57"/>
  <c r="E21" i="57"/>
  <c r="E20" i="57"/>
  <c r="E18" i="57"/>
  <c r="E17" i="57"/>
  <c r="E16" i="57"/>
  <c r="E15" i="57"/>
  <c r="E13" i="57"/>
  <c r="G147" i="56"/>
  <c r="G126" i="56"/>
  <c r="D121" i="56"/>
  <c r="D126" i="56" s="1"/>
  <c r="D149" i="56" s="1"/>
  <c r="E108" i="56"/>
  <c r="E107" i="56"/>
  <c r="E106" i="56"/>
  <c r="E105" i="56"/>
  <c r="F104" i="56"/>
  <c r="E104" i="56" s="1"/>
  <c r="F103" i="56"/>
  <c r="E103" i="56" s="1"/>
  <c r="F102" i="56"/>
  <c r="E102" i="56"/>
  <c r="F101" i="56"/>
  <c r="E101" i="56" s="1"/>
  <c r="F100" i="56"/>
  <c r="E100" i="56" s="1"/>
  <c r="F99" i="56"/>
  <c r="E99" i="56" s="1"/>
  <c r="F96" i="56"/>
  <c r="E96" i="56"/>
  <c r="C96" i="56"/>
  <c r="F93" i="56"/>
  <c r="F92" i="56"/>
  <c r="F91" i="56"/>
  <c r="F90" i="56"/>
  <c r="F89" i="56"/>
  <c r="F87" i="56"/>
  <c r="F85" i="56"/>
  <c r="E85" i="56" s="1"/>
  <c r="F84" i="56"/>
  <c r="E81" i="56"/>
  <c r="C81" i="56"/>
  <c r="C121" i="56" s="1"/>
  <c r="C126" i="56" s="1"/>
  <c r="C149" i="56" s="1"/>
  <c r="F79" i="56"/>
  <c r="G66" i="56"/>
  <c r="E66" i="56"/>
  <c r="F65" i="56"/>
  <c r="E65" i="56" s="1"/>
  <c r="E64" i="56"/>
  <c r="E62" i="56"/>
  <c r="F61" i="56"/>
  <c r="E61" i="56" s="1"/>
  <c r="E59" i="56"/>
  <c r="F58" i="56"/>
  <c r="E56" i="56"/>
  <c r="F54" i="56"/>
  <c r="E54" i="56" s="1"/>
  <c r="E52" i="56"/>
  <c r="E51" i="56"/>
  <c r="E50" i="56"/>
  <c r="E49" i="56"/>
  <c r="E48" i="56"/>
  <c r="F47" i="56"/>
  <c r="E47" i="56" s="1"/>
  <c r="E46" i="56"/>
  <c r="F45" i="56"/>
  <c r="E45" i="56" s="1"/>
  <c r="E44" i="56"/>
  <c r="E43" i="56"/>
  <c r="F42" i="56"/>
  <c r="E42" i="56"/>
  <c r="F41" i="56"/>
  <c r="E41" i="56" s="1"/>
  <c r="F40" i="56"/>
  <c r="E40" i="56" s="1"/>
  <c r="G39" i="56"/>
  <c r="G121" i="56" s="1"/>
  <c r="F39" i="56"/>
  <c r="E39" i="56" s="1"/>
  <c r="F38" i="56"/>
  <c r="E38" i="56" s="1"/>
  <c r="E36" i="56"/>
  <c r="D34" i="56"/>
  <c r="C34" i="56"/>
  <c r="G33" i="56"/>
  <c r="F32" i="56"/>
  <c r="E32" i="56" s="1"/>
  <c r="G30" i="56"/>
  <c r="F30" i="56"/>
  <c r="E30" i="56"/>
  <c r="F29" i="56"/>
  <c r="E29" i="56" s="1"/>
  <c r="F28" i="56"/>
  <c r="E28" i="56" s="1"/>
  <c r="F27" i="56"/>
  <c r="E27" i="56" s="1"/>
  <c r="F24" i="56"/>
  <c r="E24" i="56"/>
  <c r="G23" i="56"/>
  <c r="F23" i="56"/>
  <c r="E23" i="56" s="1"/>
  <c r="F22" i="56"/>
  <c r="E22" i="56" s="1"/>
  <c r="E21" i="56"/>
  <c r="G20" i="56"/>
  <c r="F20" i="56"/>
  <c r="F19" i="56"/>
  <c r="E19" i="56" s="1"/>
  <c r="E18" i="56"/>
  <c r="E17" i="56"/>
  <c r="G16" i="56"/>
  <c r="G34" i="56" s="1"/>
  <c r="F16" i="56"/>
  <c r="E16" i="56" s="1"/>
  <c r="F14" i="56"/>
  <c r="E13" i="56"/>
  <c r="D45" i="60" l="1"/>
  <c r="E32" i="79"/>
  <c r="G59" i="82"/>
  <c r="E32" i="62"/>
  <c r="E47" i="69"/>
  <c r="E30" i="70"/>
  <c r="G33" i="75"/>
  <c r="G47" i="75" s="1"/>
  <c r="G48" i="75" s="1"/>
  <c r="G61" i="83"/>
  <c r="E53" i="85"/>
  <c r="E69" i="85" s="1"/>
  <c r="F69" i="85"/>
  <c r="C44" i="87"/>
  <c r="G47" i="91"/>
  <c r="E31" i="93"/>
  <c r="E58" i="93" s="1"/>
  <c r="E32" i="61"/>
  <c r="E48" i="61" s="1"/>
  <c r="E30" i="66"/>
  <c r="E59" i="66" s="1"/>
  <c r="J42" i="87"/>
  <c r="E31" i="89"/>
  <c r="E41" i="89" s="1"/>
  <c r="E40" i="92"/>
  <c r="F42" i="63"/>
  <c r="G44" i="70"/>
  <c r="E32" i="86"/>
  <c r="G44" i="87"/>
  <c r="C48" i="61"/>
  <c r="E43" i="68"/>
  <c r="E38" i="71"/>
  <c r="C49" i="73"/>
  <c r="C54" i="77"/>
  <c r="I42" i="87"/>
  <c r="E32" i="92"/>
  <c r="C52" i="62"/>
  <c r="E30" i="67"/>
  <c r="F54" i="77"/>
  <c r="E33" i="80"/>
  <c r="E42" i="80" s="1"/>
  <c r="E32" i="84"/>
  <c r="E43" i="84" s="1"/>
  <c r="E42" i="84"/>
  <c r="F44" i="70"/>
  <c r="G49" i="73"/>
  <c r="E52" i="75"/>
  <c r="D69" i="76"/>
  <c r="I33" i="78"/>
  <c r="E35" i="88"/>
  <c r="D51" i="64"/>
  <c r="F57" i="74"/>
  <c r="E56" i="93"/>
  <c r="E41" i="59"/>
  <c r="D64" i="59"/>
  <c r="D65" i="59" s="1"/>
  <c r="D44" i="68"/>
  <c r="C58" i="69"/>
  <c r="F40" i="71"/>
  <c r="E56" i="74"/>
  <c r="E57" i="74" s="1"/>
  <c r="G57" i="74"/>
  <c r="F52" i="75"/>
  <c r="F53" i="75" s="1"/>
  <c r="E32" i="77"/>
  <c r="E54" i="77" s="1"/>
  <c r="E46" i="78"/>
  <c r="E47" i="78" s="1"/>
  <c r="G52" i="81"/>
  <c r="F43" i="90"/>
  <c r="D44" i="70"/>
  <c r="C64" i="59"/>
  <c r="C65" i="59" s="1"/>
  <c r="E50" i="62"/>
  <c r="F54" i="58"/>
  <c r="E32" i="65"/>
  <c r="E45" i="65"/>
  <c r="C42" i="67"/>
  <c r="F44" i="68"/>
  <c r="G40" i="71"/>
  <c r="F49" i="73"/>
  <c r="G47" i="78"/>
  <c r="C59" i="82"/>
  <c r="F47" i="91"/>
  <c r="F34" i="56"/>
  <c r="E29" i="68"/>
  <c r="G48" i="61"/>
  <c r="E50" i="64"/>
  <c r="E51" i="64" s="1"/>
  <c r="F42" i="67"/>
  <c r="G58" i="69"/>
  <c r="E31" i="72"/>
  <c r="E36" i="72" s="1"/>
  <c r="F36" i="72"/>
  <c r="E32" i="74"/>
  <c r="E38" i="75"/>
  <c r="E47" i="81"/>
  <c r="E32" i="82"/>
  <c r="F55" i="82"/>
  <c r="C46" i="92"/>
  <c r="F58" i="69"/>
  <c r="F65" i="59"/>
  <c r="E44" i="73"/>
  <c r="E49" i="73" s="1"/>
  <c r="E31" i="91"/>
  <c r="E32" i="87"/>
  <c r="G45" i="60"/>
  <c r="G42" i="63"/>
  <c r="G59" i="66"/>
  <c r="E41" i="67"/>
  <c r="E36" i="70"/>
  <c r="E44" i="70" s="1"/>
  <c r="E62" i="76"/>
  <c r="E69" i="76" s="1"/>
  <c r="E74" i="79"/>
  <c r="E79" i="79" s="1"/>
  <c r="E59" i="83"/>
  <c r="E61" i="83" s="1"/>
  <c r="C47" i="91"/>
  <c r="G52" i="62"/>
  <c r="E31" i="57"/>
  <c r="E39" i="57" s="1"/>
  <c r="E42" i="87"/>
  <c r="E29" i="60"/>
  <c r="G42" i="67"/>
  <c r="E32" i="58"/>
  <c r="E54" i="58" s="1"/>
  <c r="E30" i="64"/>
  <c r="E58" i="66"/>
  <c r="E32" i="69"/>
  <c r="E58" i="69" s="1"/>
  <c r="E33" i="81"/>
  <c r="E52" i="81" s="1"/>
  <c r="C61" i="83"/>
  <c r="C45" i="86"/>
  <c r="D47" i="91"/>
  <c r="F46" i="92"/>
  <c r="E30" i="63"/>
  <c r="E42" i="63" s="1"/>
  <c r="D40" i="71"/>
  <c r="E32" i="59"/>
  <c r="G43" i="84"/>
  <c r="D46" i="92"/>
  <c r="C45" i="60"/>
  <c r="E44" i="61"/>
  <c r="E30" i="73"/>
  <c r="E32" i="76"/>
  <c r="F59" i="82"/>
  <c r="D61" i="83"/>
  <c r="E35" i="85"/>
  <c r="D45" i="86"/>
  <c r="C43" i="90"/>
  <c r="G46" i="92"/>
  <c r="G64" i="59"/>
  <c r="G65" i="59" s="1"/>
  <c r="E45" i="60"/>
  <c r="G44" i="68"/>
  <c r="G69" i="85"/>
  <c r="E32" i="90"/>
  <c r="E43" i="90"/>
  <c r="E44" i="68"/>
  <c r="F108" i="88"/>
  <c r="L100" i="88"/>
  <c r="E45" i="86"/>
  <c r="E121" i="56"/>
  <c r="E126" i="56" s="1"/>
  <c r="G149" i="56"/>
  <c r="G155" i="56" s="1"/>
  <c r="E64" i="59"/>
  <c r="E52" i="62"/>
  <c r="E40" i="71"/>
  <c r="G52" i="75"/>
  <c r="G53" i="75" s="1"/>
  <c r="G79" i="79"/>
  <c r="E55" i="82"/>
  <c r="G108" i="88"/>
  <c r="G43" i="90"/>
  <c r="E46" i="92"/>
  <c r="E59" i="82"/>
  <c r="E20" i="75"/>
  <c r="E33" i="75" s="1"/>
  <c r="J62" i="76"/>
  <c r="K62" i="76" s="1"/>
  <c r="J50" i="77"/>
  <c r="K50" i="77" s="1"/>
  <c r="F46" i="78"/>
  <c r="F47" i="78" s="1"/>
  <c r="E38" i="91"/>
  <c r="E42" i="91" s="1"/>
  <c r="E47" i="91" s="1"/>
  <c r="F44" i="87"/>
  <c r="F74" i="79"/>
  <c r="F45" i="86"/>
  <c r="E14" i="56"/>
  <c r="E34" i="56" s="1"/>
  <c r="F121" i="56"/>
  <c r="F126" i="56" s="1"/>
  <c r="F149" i="56" s="1"/>
  <c r="E79" i="88"/>
  <c r="E100" i="88" s="1"/>
  <c r="E108" i="88" s="1"/>
  <c r="E42" i="67" l="1"/>
  <c r="E46" i="65"/>
  <c r="E65" i="59"/>
  <c r="E44" i="87"/>
  <c r="E53" i="75"/>
  <c r="K74" i="79"/>
  <c r="L74" i="79" s="1"/>
  <c r="F79" i="79"/>
  <c r="E149" i="56"/>
</calcChain>
</file>

<file path=xl/sharedStrings.xml><?xml version="1.0" encoding="utf-8"?>
<sst xmlns="http://schemas.openxmlformats.org/spreadsheetml/2006/main" count="4196" uniqueCount="783">
  <si>
    <t>PROGRAMMED APPROPRIATION AND OBLIGATION BY OBJECT OF EXPENDITURE</t>
  </si>
  <si>
    <t>REGION:</t>
  </si>
  <si>
    <t>NATIONAL CAPITAL REGION</t>
  </si>
  <si>
    <t>CALENDAR YEAR:</t>
  </si>
  <si>
    <t>PROVINCE:</t>
  </si>
  <si>
    <t>CITY OF MALABON</t>
  </si>
  <si>
    <t>CITY/MUNICIPALITY:</t>
  </si>
  <si>
    <t xml:space="preserve">FDPP Form 1b - Annual Budget Report, Summary  </t>
  </si>
  <si>
    <t>CAUTION:</t>
  </si>
  <si>
    <t>TO REDUCE THE RISK OF UPLOADING WRONG TEMPLATE FOR THIS DOCUMENT, DO NOT EDIT/DELETE THIS SHEET.</t>
  </si>
  <si>
    <t>FROM:</t>
  </si>
  <si>
    <t>FDPP TEAM</t>
  </si>
  <si>
    <t>v2</t>
  </si>
  <si>
    <t>LBP Form No. 2</t>
  </si>
  <si>
    <t>City of Malabon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</si>
  <si>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OFFICE OF THE CITY MAYOR</t>
    </r>
  </si>
  <si>
    <t>OBJECT OF EXPENDITURES</t>
  </si>
  <si>
    <t>ACCOUNT                              CODE                   (PPSAS)</t>
  </si>
  <si>
    <t>PAST YEAR                                2022                                 ( ACTUAL)</t>
  </si>
  <si>
    <t>CURRENT YEAR (ESTIMATE) 2023</t>
  </si>
  <si>
    <t>BUDGET                          YEAR                                 2024 (PROPOSED)</t>
  </si>
  <si>
    <t>First Semester</t>
  </si>
  <si>
    <t>Second Semester</t>
  </si>
  <si>
    <t>TOTAL</t>
  </si>
  <si>
    <t>(Actual)</t>
  </si>
  <si>
    <t>(Estimate)</t>
  </si>
  <si>
    <t>(1)</t>
  </si>
  <si>
    <t>(2)</t>
  </si>
  <si>
    <t>(3)</t>
  </si>
  <si>
    <t>(4)</t>
  </si>
  <si>
    <t>(5)</t>
  </si>
  <si>
    <t>(6)</t>
  </si>
  <si>
    <t>(7)</t>
  </si>
  <si>
    <t>1.0 CURRENT OPERATING EXPENDITURES</t>
  </si>
  <si>
    <t>1.1 PERSONAL SERVICES</t>
  </si>
  <si>
    <t>Salaries and Wages</t>
  </si>
  <si>
    <t xml:space="preserve">Salaries and Wages - Regular  </t>
  </si>
  <si>
    <t>5-01-01-010</t>
  </si>
  <si>
    <t>Salaries and Wages - Casual</t>
  </si>
  <si>
    <t>5-01-01-020</t>
  </si>
  <si>
    <t>Other Compensation</t>
  </si>
  <si>
    <t>Personnel Economic Relief Allowance (PERA)</t>
  </si>
  <si>
    <t>5-01-02-010</t>
  </si>
  <si>
    <t>Representation Allowance (RA)</t>
  </si>
  <si>
    <t>5-01-02-020</t>
  </si>
  <si>
    <t>Transportation Allowance (TA)</t>
  </si>
  <si>
    <t>5-01-02-030</t>
  </si>
  <si>
    <t>Clothing/Uniform Allowance</t>
  </si>
  <si>
    <t>5-01-02-040</t>
  </si>
  <si>
    <t>Productivity Incentive Allowance</t>
  </si>
  <si>
    <t>5-01-02-080</t>
  </si>
  <si>
    <t>Overtime and Night Pay</t>
  </si>
  <si>
    <t>5-01-02-130</t>
  </si>
  <si>
    <t>Year End Bonus</t>
  </si>
  <si>
    <t>5-01-02-140</t>
  </si>
  <si>
    <t>Cash Gift</t>
  </si>
  <si>
    <t>5-01-02-150</t>
  </si>
  <si>
    <t>Mid Year Bonus</t>
  </si>
  <si>
    <t>5-01-02-990</t>
  </si>
  <si>
    <t>Personnel Benefit Contributions</t>
  </si>
  <si>
    <t>Retirement and Life Insurance Contributions</t>
  </si>
  <si>
    <t>5-01-03-010</t>
  </si>
  <si>
    <t>PAG-IBIG Contributions</t>
  </si>
  <si>
    <t>5-01-03-020</t>
  </si>
  <si>
    <t>PHILHEALTH Contributions</t>
  </si>
  <si>
    <t>5-01-03-030</t>
  </si>
  <si>
    <t>Employees Compensation Insurance Premiums</t>
  </si>
  <si>
    <t>5-01-03-040</t>
  </si>
  <si>
    <t>Other Personnel Benefits</t>
  </si>
  <si>
    <t>Terminal Leave Benefits</t>
  </si>
  <si>
    <t>5-01-04-030</t>
  </si>
  <si>
    <t>TOTAL 1.1 PERSONAL SERVICES</t>
  </si>
  <si>
    <t>1.2 MAINTENANCE &amp; OTHER OPERATING EXPENSES</t>
  </si>
  <si>
    <t>Travelling Expenses - Local</t>
  </si>
  <si>
    <t>5-02-01-010</t>
  </si>
  <si>
    <t>Training Expenses</t>
  </si>
  <si>
    <t>5-02-02-010</t>
  </si>
  <si>
    <t xml:space="preserve">Office Supplies Expenses              </t>
  </si>
  <si>
    <t>5-02-03-010</t>
  </si>
  <si>
    <t xml:space="preserve">Fuel, Oil and Lubricants Expenses       </t>
  </si>
  <si>
    <t>5-02-03-090</t>
  </si>
  <si>
    <t>Other Supplies and Materials Expenses</t>
  </si>
  <si>
    <t>5-02-03-990</t>
  </si>
  <si>
    <t>Telephone Expense</t>
  </si>
  <si>
    <t>5-02-05-020</t>
  </si>
  <si>
    <t>Internet Subscription Expenses</t>
  </si>
  <si>
    <t>5-02-05-030</t>
  </si>
  <si>
    <t>Confidential Expenses</t>
  </si>
  <si>
    <t>5-02-10-010</t>
  </si>
  <si>
    <t>Extraordinary and Miscellaneous Expenses</t>
  </si>
  <si>
    <t>5-02-10-030</t>
  </si>
  <si>
    <t>Consultancy Services</t>
  </si>
  <si>
    <t>5-02-11-030</t>
  </si>
  <si>
    <t>Other Professional  Services</t>
  </si>
  <si>
    <t>5-02-11-990</t>
  </si>
  <si>
    <t>5-02-14-080</t>
  </si>
  <si>
    <t>Taxes, Duties and Licenses</t>
  </si>
  <si>
    <t>5-02-16-010</t>
  </si>
  <si>
    <t>Advertising Expenses</t>
  </si>
  <si>
    <t>5-02-99-010</t>
  </si>
  <si>
    <t>Representation Expenses</t>
  </si>
  <si>
    <t>5-02-99-030</t>
  </si>
  <si>
    <t>Rent Expenses</t>
  </si>
  <si>
    <t>5-02-99-050</t>
  </si>
  <si>
    <t>Membership Dues and Contribution to Organizations</t>
  </si>
  <si>
    <t>5-02-99-060</t>
  </si>
  <si>
    <t>Donations</t>
  </si>
  <si>
    <t>5-02-99-080</t>
  </si>
  <si>
    <t>Other Maintenance &amp; Operating Expenses</t>
  </si>
  <si>
    <t>5-02-99-990</t>
  </si>
  <si>
    <t>Council</t>
  </si>
  <si>
    <t>Conduct of the State of the City Address (SOCA)</t>
  </si>
  <si>
    <t>Support to Other Economic Development Sector Programs, Projects and Activities</t>
  </si>
  <si>
    <t>Smart Cities Initiatives and Programs</t>
  </si>
  <si>
    <t>Convergence of various stakeholders for the promotion of socio-cultural, livelihood and economic activities for Malabueños</t>
  </si>
  <si>
    <t>Economic Inflation Relief Assistance Program</t>
  </si>
  <si>
    <t>Support to Anti-Crime and Public Safety Campaign</t>
  </si>
  <si>
    <t>Peace and Order Summit</t>
  </si>
  <si>
    <t>Peace and Order and Public Safety Activities</t>
  </si>
  <si>
    <t>Balik Eskwela Program (Conduct of Balik Eskwela Activities)</t>
  </si>
  <si>
    <t>Public Information Program</t>
  </si>
  <si>
    <t>Crisis Management, Response &amp; Recovery Programs</t>
  </si>
  <si>
    <t>Kasalang Bayan</t>
  </si>
  <si>
    <t>Support to Other Institutional Development Sector Program, Projects and Activities</t>
  </si>
  <si>
    <t>Pasko sa Malabon</t>
  </si>
  <si>
    <t>Employees Activities</t>
  </si>
  <si>
    <t>Page 1 of 3</t>
  </si>
  <si>
    <t>Employee's Welfare Activities</t>
  </si>
  <si>
    <t>People's Forum and Town Hall Meetings</t>
  </si>
  <si>
    <t>Celebration of the Cityhood Anniversary</t>
  </si>
  <si>
    <t>Community Development Employment Program</t>
  </si>
  <si>
    <t>Support to Community-based Projects and Programs</t>
  </si>
  <si>
    <t>Business Forum/Meetings</t>
  </si>
  <si>
    <t>Conduct of Food for Work and Emergency Employment Activities</t>
  </si>
  <si>
    <t>Other Special Programs and Services</t>
  </si>
  <si>
    <t>Support Fund for City Housing Program</t>
  </si>
  <si>
    <t>Malabon Ahon Outreach Program</t>
  </si>
  <si>
    <t>Malabon Ahon Blue Card</t>
  </si>
  <si>
    <t>Linkage with Barangay Stakeholders</t>
  </si>
  <si>
    <t>Conduct of Barangay, Community and Volunteer Activities</t>
  </si>
  <si>
    <t>Aid to Liga ng mga Barangay</t>
  </si>
  <si>
    <t>Subsidy to PLEB</t>
  </si>
  <si>
    <t>Youth Welfare and Development &amp; Other Related Activities</t>
  </si>
  <si>
    <t>Subsidy to Philippine National Police (PNP)</t>
  </si>
  <si>
    <t>Subsidy to Bureau of Fire Protection</t>
  </si>
  <si>
    <t>Subsidy to Bureau of Jail and Management</t>
  </si>
  <si>
    <t>Subsidy to Department of Education</t>
  </si>
  <si>
    <t>Subsidy to Office of the Prosecutor (Fiscal)</t>
  </si>
  <si>
    <t>Subsidy to Regional Trial Court</t>
  </si>
  <si>
    <t>Subsidy to Metropolitan Trial Court</t>
  </si>
  <si>
    <t>Subsidy to COMELEC</t>
  </si>
  <si>
    <t>Subsidy to DILG</t>
  </si>
  <si>
    <t>Subsidy to Commission on Audit</t>
  </si>
  <si>
    <t>Pamaskong Malabon</t>
  </si>
  <si>
    <t>Policy Formulation and Strategic Development Policies &amp; Programs</t>
  </si>
  <si>
    <t>City-wide Feedback Mechanism System</t>
  </si>
  <si>
    <t>Malabon Gintong Parangal</t>
  </si>
  <si>
    <t>MSMEs Activities and Promotions</t>
  </si>
  <si>
    <t>Bantay Komunidad</t>
  </si>
  <si>
    <t>Peace and Order and Public Safety quarterly meeting</t>
  </si>
  <si>
    <t>Mayor's Week</t>
  </si>
  <si>
    <t>Pamaskong Handog</t>
  </si>
  <si>
    <t>TOTAL 1.2 MOOE</t>
  </si>
  <si>
    <t>2.0 CAPITAL OUTLAY</t>
  </si>
  <si>
    <t>Buildings</t>
  </si>
  <si>
    <t>1-07-04-010</t>
  </si>
  <si>
    <t>Page 2 of 3</t>
  </si>
  <si>
    <t>Office Equipment</t>
  </si>
  <si>
    <t>1-07-05-020</t>
  </si>
  <si>
    <t>Furniture and Fixtures</t>
  </si>
  <si>
    <t>1-07-07-010</t>
  </si>
  <si>
    <t>TOTAL 2.0 CAPITAL OUTLAY</t>
  </si>
  <si>
    <t>SPECIAL PURPOSE APPROPRIATIONS (SPAs)</t>
  </si>
  <si>
    <t>Appropriation for the Development Programs/Projects (20% Development Fund)</t>
  </si>
  <si>
    <t>Appropriation for Debt Servicing</t>
  </si>
  <si>
    <t xml:space="preserve">   </t>
  </si>
  <si>
    <t>Aid to Barangays</t>
  </si>
  <si>
    <t>Education Fund (RA 9019, Charter of the City of Malabon)</t>
  </si>
  <si>
    <t>5% MMDA</t>
  </si>
  <si>
    <t>Scholarship Fund (RA 9019, Charter of the City of Malabon)</t>
  </si>
  <si>
    <t>TOTAL SPAs</t>
  </si>
  <si>
    <t>TOTAL APPROPRIATION</t>
  </si>
  <si>
    <t xml:space="preserve"> </t>
  </si>
  <si>
    <t>Prepared by:</t>
  </si>
  <si>
    <t>Reviewed by:</t>
  </si>
  <si>
    <t>Approved by:</t>
  </si>
  <si>
    <t>ALEXANDER T. ROSETE, Ph.D.</t>
  </si>
  <si>
    <t>EnP. MA. SHELLA S. CABRERA, MPA</t>
  </si>
  <si>
    <t>HON. JEANNIE N. SANDOVAL</t>
  </si>
  <si>
    <t>City Administrator</t>
  </si>
  <si>
    <t>OIC - City Budget Department</t>
  </si>
  <si>
    <t>City Mayor</t>
  </si>
  <si>
    <t>Page 3 of 3</t>
  </si>
  <si>
    <t>OIC - Internal Audit Service</t>
  </si>
  <si>
    <t>Page 1 of 1</t>
  </si>
  <si>
    <t>Accountable Forms Expenses</t>
  </si>
  <si>
    <t>5-02-03-020</t>
  </si>
  <si>
    <t>Security Services</t>
  </si>
  <si>
    <t>5-02-12-030</t>
  </si>
  <si>
    <t>Other General Services</t>
  </si>
  <si>
    <t>5-02-12-990</t>
  </si>
  <si>
    <t>Road Networks</t>
  </si>
  <si>
    <t>1-07-03-010</t>
  </si>
  <si>
    <t>Other Structure</t>
  </si>
  <si>
    <t>1-07-04-990</t>
  </si>
  <si>
    <t>Information and Communication Technology Equipment</t>
  </si>
  <si>
    <t>1-07-05-030</t>
  </si>
  <si>
    <t>Communication Equipment</t>
  </si>
  <si>
    <t>1-07-05-070</t>
  </si>
  <si>
    <t>Motor Vehicles</t>
  </si>
  <si>
    <t>1-07-06-010</t>
  </si>
  <si>
    <t>Other Property, Plant and  Equipment</t>
  </si>
  <si>
    <t>1-07-99-990</t>
  </si>
  <si>
    <t>PCOL. REYNALDO Z. MEDINA, JR. (RET.)</t>
  </si>
  <si>
    <t>Chief - PSTMO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</si>
  <si>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MALABON CITY DISASTER RISK REDUCTION AND MANAGEMENT OFFICE</t>
    </r>
  </si>
  <si>
    <t xml:space="preserve">Salaries and Wages - Casual </t>
  </si>
  <si>
    <t>Telephone Expenses</t>
  </si>
  <si>
    <t>Page 1 of 2</t>
  </si>
  <si>
    <t>TOTAL SPA</t>
  </si>
  <si>
    <t>RODERICK D. TONGOL</t>
  </si>
  <si>
    <t>Chief -MCDRRMO</t>
  </si>
  <si>
    <t>Page 2 of 2</t>
  </si>
  <si>
    <t>Traveling Expense - Local</t>
  </si>
  <si>
    <t>Office Supplies Expenses</t>
  </si>
  <si>
    <t xml:space="preserve">Telephone Expense </t>
  </si>
  <si>
    <t>Transportation and Delivery Expenses</t>
  </si>
  <si>
    <t>5-02-99-040</t>
  </si>
  <si>
    <t>Conduct Family Day Activities</t>
  </si>
  <si>
    <t>Graduation of PWUDs</t>
  </si>
  <si>
    <t>VRIX JHON T. SARMIENTO</t>
  </si>
  <si>
    <t>OIC - CMADAO</t>
  </si>
  <si>
    <t xml:space="preserve">Other Supplies and Materials Expenses </t>
  </si>
  <si>
    <t>Other Maintenance and Operating Expenses</t>
  </si>
  <si>
    <t>Conduct of Business Registration and Promotions Activities</t>
  </si>
  <si>
    <t xml:space="preserve">    </t>
  </si>
  <si>
    <t>RUSSELL G. BESABE</t>
  </si>
  <si>
    <t>OIC - BPLO</t>
  </si>
  <si>
    <t>PAST YEAR                                2022                               ( ACTUAL)</t>
  </si>
  <si>
    <t>Other Professional Services</t>
  </si>
  <si>
    <t>Repairs &amp; Maintenance - Machinery and Equipment</t>
  </si>
  <si>
    <t>5-02-13-050</t>
  </si>
  <si>
    <t>Repairs &amp; Maintenance - Transportation Equipment</t>
  </si>
  <si>
    <t>5-02-13-060</t>
  </si>
  <si>
    <t>Subsidy allowance,  death and hospitalization/ medical assistance to Special Task Force</t>
  </si>
  <si>
    <t>Consultation &amp; Info Dissemination/ advocacy awareness; Meetings for community, sectoral, barangays, CSO groups</t>
  </si>
  <si>
    <t>Capability and Capacity Development for urban poor, ISFs and support group and skills training activities and enable assistance on other related support projects</t>
  </si>
  <si>
    <t>Organization of Leaders of relocatees and trainings for CapDev &amp; livelihood, and establishing of Estate Management in the tenement</t>
  </si>
  <si>
    <t>Ressettlement/Relocation of ISFs</t>
  </si>
  <si>
    <t>Pantawid Pasada (Cash-for-work)</t>
  </si>
  <si>
    <t>Land</t>
  </si>
  <si>
    <t>1-07-01-010</t>
  </si>
  <si>
    <t>OIC - CUPAO</t>
  </si>
  <si>
    <t xml:space="preserve">     Conduct of Digital Literacy Session for OSY</t>
  </si>
  <si>
    <t xml:space="preserve">Acting City Librarian </t>
  </si>
  <si>
    <t>Printing &amp; Publication Expenses</t>
  </si>
  <si>
    <t>5-02-99-020</t>
  </si>
  <si>
    <t>Formulation of City Tourism Development Plans and Policies</t>
  </si>
  <si>
    <t>Tourism Month Celebration Activities</t>
  </si>
  <si>
    <t>Information and Education Campaign Program for the Promotion of Malabon Tourism Products, Attractions and Destinations.</t>
  </si>
  <si>
    <t>Malabon Cultural Activties (Conduct of Various Cultural Activities)</t>
  </si>
  <si>
    <t>Tambobong Festival Activities</t>
  </si>
  <si>
    <t>Trainings for Tourism Related Establishment (TREs) and other Stakeholders</t>
  </si>
  <si>
    <t>Cultural Mapping</t>
  </si>
  <si>
    <t>CATHERINE J. LARRACAS</t>
  </si>
  <si>
    <t>OIC - City Tourism and Cultural Affairs Office</t>
  </si>
  <si>
    <t>Recommended Expenditure Ceiling: 4,350,000.00 (For MOOE/CO)</t>
  </si>
  <si>
    <t>ACCOUNT CODE (PPSAS)</t>
  </si>
  <si>
    <t>Honoraria for Board of Regents</t>
  </si>
  <si>
    <t>5-01-02-100</t>
  </si>
  <si>
    <t>Travelling Expenses-Local</t>
  </si>
  <si>
    <t>5-02-11-090</t>
  </si>
  <si>
    <t>Taxes, Duties, and Licenses</t>
  </si>
  <si>
    <t>Participation to extra curricular acivities for trainees</t>
  </si>
  <si>
    <t>OIC - City of  Malabon Polytechnic Institute</t>
  </si>
  <si>
    <t>Training Expense</t>
  </si>
  <si>
    <t>Printing and Publication Expenses</t>
  </si>
  <si>
    <t>Employment Facilitation Program</t>
  </si>
  <si>
    <t>Referral and Placement</t>
  </si>
  <si>
    <t>In-House Job Interview: Local Recruitment Activity (LRA) and Special Recruitment Activity (SRA)</t>
  </si>
  <si>
    <t>Job Fair</t>
  </si>
  <si>
    <t>Special Program for the Employment of Students (SPES)</t>
  </si>
  <si>
    <t>Malabon Ahon: Balik Pangkabuhayan at Trabaho Program</t>
  </si>
  <si>
    <t>Livelihood Assistance Program</t>
  </si>
  <si>
    <t>Livelihood Formation</t>
  </si>
  <si>
    <t>Labor Market Information Program</t>
  </si>
  <si>
    <t>Labor Eduation for Graduating Students (LEGS)</t>
  </si>
  <si>
    <t>On-the-Job Training (OJT) and Senior High School Work Immersion</t>
  </si>
  <si>
    <t>Tripartite Industrial Peace Council (TIPC) Program</t>
  </si>
  <si>
    <t>Kasambahay Registration and Monitoring</t>
  </si>
  <si>
    <t>Overseas Filipino Worker (OFW) Help Desk</t>
  </si>
  <si>
    <t>OIC - Public Employment Service Office</t>
  </si>
  <si>
    <t xml:space="preserve">CURRENT YEAR (ESTIMATE) 2023                </t>
  </si>
  <si>
    <t>OPLAN LITAW BANGKETA "Sidewalk Clearing Operations"</t>
  </si>
  <si>
    <t>P/COL. REYNALDO Z. MEDINA (Retired)</t>
  </si>
  <si>
    <t>OIC - MCAT</t>
  </si>
  <si>
    <t>Cable, Satellite , Telegraph and Radio Expenses</t>
  </si>
  <si>
    <t>5-02-05-040</t>
  </si>
  <si>
    <t>Repair and Maintenance - Transportation Equipment</t>
  </si>
  <si>
    <t>Subscription Expenses</t>
  </si>
  <si>
    <t>5-02-99-070</t>
  </si>
  <si>
    <t>Information and Research Activities</t>
  </si>
  <si>
    <t>Promotional Activities</t>
  </si>
  <si>
    <t>GENNA C. MIJARES</t>
  </si>
  <si>
    <t>Chief - Public Information Officer</t>
  </si>
  <si>
    <t>Honoraria (City Ordinance No. 03-2015)</t>
  </si>
  <si>
    <t>Donations / Financial Aid to Heirs of Señior Citizens</t>
  </si>
  <si>
    <t>Kalingang Lola at Lolo (Local señiors' pension per Ordinance)</t>
  </si>
  <si>
    <t>Birthday Gift for Senior Citizens (City Ordinance No. 07-2018)</t>
  </si>
  <si>
    <t>Appropriation for Senior Citizens and Persons with Disabilities</t>
  </si>
  <si>
    <t>Provision of Death Claims</t>
  </si>
  <si>
    <t>Year End and Other Senior Citizens Socialization Program and Activities</t>
  </si>
  <si>
    <t>Sports Tournament</t>
  </si>
  <si>
    <t>Sports Clinic</t>
  </si>
  <si>
    <t>Other Property, Plant and Equipment</t>
  </si>
  <si>
    <t>ARTHUR JAYSON I. REYES</t>
  </si>
  <si>
    <t>OIC - Sports Development Office</t>
  </si>
  <si>
    <t>.</t>
  </si>
  <si>
    <t>Over time and Night Pay</t>
  </si>
  <si>
    <t xml:space="preserve"> RUSSELL G. BESABE</t>
  </si>
  <si>
    <t>Training for Various Cooperatives</t>
  </si>
  <si>
    <t>Cooperative Month Celebration</t>
  </si>
  <si>
    <t>Year-End Assembly and Fellowship</t>
  </si>
  <si>
    <t>Capacity Devt. Training and Strategic Planning Seminar</t>
  </si>
  <si>
    <t>TOTAL 2.0  MOOE</t>
  </si>
  <si>
    <t>SPECIAL PURPOSE APPROPRIATIONS (SPAS)</t>
  </si>
  <si>
    <t>Appropriation for Livelihood (RA 9019 - Charter of the City of Malabon)</t>
  </si>
  <si>
    <t>EDGARDO S. CRUZ</t>
  </si>
  <si>
    <t>OIC- City Cooperative Dev't. Office</t>
  </si>
  <si>
    <t>Agricultural and Marine Supplies Expenses</t>
  </si>
  <si>
    <t>5-02-03-100</t>
  </si>
  <si>
    <t>Prizes</t>
  </si>
  <si>
    <t>5-02-06-020</t>
  </si>
  <si>
    <t>Environmental / Sanitary Services</t>
  </si>
  <si>
    <t>5-02-12-010</t>
  </si>
  <si>
    <t>Repairs &amp; Maintenance - Buildings and Other Structures</t>
  </si>
  <si>
    <t>5-02-13-040</t>
  </si>
  <si>
    <t>Gulay is Life (Urban Gardening)</t>
  </si>
  <si>
    <t>Garbage Collection/Hauling/Disposal</t>
  </si>
  <si>
    <t>Proper segregation and Collection/ Hauling/ Disposal of Health Care and Hazardous Waste Materials</t>
  </si>
  <si>
    <t>ESWM Program of Malabon City Wide implementation of R.A. 9003</t>
  </si>
  <si>
    <t>Updating of the Ten Year Solid Waste Management Plan</t>
  </si>
  <si>
    <t>Green House Gas (GHG) Inventory</t>
  </si>
  <si>
    <t>MARK LLOYD A. MESINA</t>
  </si>
  <si>
    <t>City Environmental &amp; Natural Resources Officer</t>
  </si>
  <si>
    <r>
      <t xml:space="preserve">Office/Department: </t>
    </r>
    <r>
      <rPr>
        <b/>
        <sz val="12"/>
        <color theme="1"/>
        <rFont val="Palatino Linotype"/>
        <family val="1"/>
      </rPr>
      <t>GENDER AND DEVELOPMENT (GAD) OFFICE</t>
    </r>
  </si>
  <si>
    <t xml:space="preserve">Other Supplies and Materials Expenses              </t>
  </si>
  <si>
    <t>Appropriation for the Gender and Development</t>
  </si>
  <si>
    <t xml:space="preserve">         MARK MATHEW V. OPERIANO, MA</t>
  </si>
  <si>
    <t>OIC - Gender and Development Office</t>
  </si>
  <si>
    <t xml:space="preserve">Security Services </t>
  </si>
  <si>
    <t>Fidelity Bond Premiums</t>
  </si>
  <si>
    <t>5-02-16-020</t>
  </si>
  <si>
    <t>Policy Development, Strategic and Policy Review, Research Monitoring and System Development Expenses</t>
  </si>
  <si>
    <t>Repair, maintenance of existing Computer system (hardware)</t>
  </si>
  <si>
    <t>Resource Management Projects and Activities</t>
  </si>
  <si>
    <t xml:space="preserve">Subscription to zoom or other online application to be used for online activies, meetings and the likes </t>
  </si>
  <si>
    <t>Subscription to use/procurement of licensed application software (MS Word and the like)</t>
  </si>
  <si>
    <t>Represent the LGU/City Mayor in various seminars, meetings, trainings, workshops, for a, symposiums, conferences, and similar</t>
  </si>
  <si>
    <t>Community Engagement Communication Project</t>
  </si>
  <si>
    <t>Support to ISO Accreditation</t>
  </si>
  <si>
    <t>Conduct of various activities</t>
  </si>
  <si>
    <t>Ahon Malabon Program</t>
  </si>
  <si>
    <t>Military, Police and Security Equipment</t>
  </si>
  <si>
    <t>1-07-05-100</t>
  </si>
  <si>
    <t>Postage and Courier Services</t>
  </si>
  <si>
    <t>5-02-05-010</t>
  </si>
  <si>
    <t>Internet Expenses</t>
  </si>
  <si>
    <t>Repair and Maintenance - Building and Other Structure</t>
  </si>
  <si>
    <t>Health Care Insurance Plan for Employees</t>
  </si>
  <si>
    <t>Program on Award and Incentives for Service Excellence (PRAISE)</t>
  </si>
  <si>
    <t>1.3 CAPITAL OUTLAY</t>
  </si>
  <si>
    <t>Information, Communication, and Technology Equipment (payroll printer, ID printer, laminating machine, projector)</t>
  </si>
  <si>
    <t xml:space="preserve">    Prepared by:</t>
  </si>
  <si>
    <t xml:space="preserve">   Reviewed by:</t>
  </si>
  <si>
    <t>ATTY. REGINA M. CASIDSID-PORTENTO</t>
  </si>
  <si>
    <t>OIC - City Human Resource Mngt. Dev't. Dept.</t>
  </si>
  <si>
    <t>Traveling Expenses - Local</t>
  </si>
  <si>
    <t>Conduct of Barangay &amp; SK Training</t>
  </si>
  <si>
    <t>Support to Operation (Conduct of Technical Budget Hearing)</t>
  </si>
  <si>
    <t>Development and Formulation of Innovative Budget Policies and Procedures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</si>
  <si>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PLANNING AND DEVELOPMENT DEPARTMENT</t>
    </r>
  </si>
  <si>
    <t>Fuel, Oil and Lubricants Expenses</t>
  </si>
  <si>
    <t>Formulation/enhancement of the City Comprehensive Development Plan (CDP)</t>
  </si>
  <si>
    <t>Community-Based Monitoring System</t>
  </si>
  <si>
    <t>Formulation  or Enhancement of Other Development Plans</t>
  </si>
  <si>
    <t>Review/Updating of Comprehensive Land Use Plan (CLUP) and Zoning Ordinance</t>
  </si>
  <si>
    <t>Formulation/Enhancement of the Annual Investment Program (AIP)</t>
  </si>
  <si>
    <t>Assessment and updating of Devolution Transition Plan</t>
  </si>
  <si>
    <t>Registry of Barangay Inhabitants and Migrants (RBIM)</t>
  </si>
  <si>
    <t>Operation of City of Malabon Development Council</t>
  </si>
  <si>
    <t>Conduct of Local Zoning Board of Appeals (LZBA)/Local Zoning Review Committee (LZRC) activities</t>
  </si>
  <si>
    <t>Conduct of barangay and SK trainings on the planning process and updates</t>
  </si>
  <si>
    <t>Capacity building/Improvement of CPDD Technical and Program Management Competencies</t>
  </si>
  <si>
    <t>Updating of the Ecological Profile</t>
  </si>
  <si>
    <t>Conduct of trainings workshop, planning sessions and the like</t>
  </si>
  <si>
    <t>Information and Communication Technology Equipment for RBIM</t>
  </si>
  <si>
    <t>City Planning &amp; Dev't. Coordinator</t>
  </si>
  <si>
    <t xml:space="preserve"> OIC - City Accounting Department</t>
  </si>
  <si>
    <t>Honoraria for PLEB Member</t>
  </si>
  <si>
    <t>Textbooks and Instructional Materials Expenses</t>
  </si>
  <si>
    <t>5-02-03-110</t>
  </si>
  <si>
    <t>Filing of Cases and Other Court Submissions</t>
  </si>
  <si>
    <t>Titling of Forfeited Property</t>
  </si>
  <si>
    <t>Water Expenses</t>
  </si>
  <si>
    <t>5-02-04-010</t>
  </si>
  <si>
    <t>Electricity Expenses</t>
  </si>
  <si>
    <t>5-02-04-020</t>
  </si>
  <si>
    <t>Janitorial Services</t>
  </si>
  <si>
    <t>5-02-12-020</t>
  </si>
  <si>
    <t>Repairs &amp; Maintenance - Infrastructure Assets</t>
  </si>
  <si>
    <t>5-02-13-030</t>
  </si>
  <si>
    <t>Repairs &amp; Maintenance - Furniture and Fixtures</t>
  </si>
  <si>
    <t>5-02-13-070</t>
  </si>
  <si>
    <t>Repairs &amp; Maintenance - Other Property, Plant and Equipment</t>
  </si>
  <si>
    <t>5-02-13-990</t>
  </si>
  <si>
    <t>Insurance Expenses</t>
  </si>
  <si>
    <t>5-02-16-030</t>
  </si>
  <si>
    <t>Establishment of Inventory Managmenent, Records and Archives System</t>
  </si>
  <si>
    <t>Other Machinery and Equipment</t>
  </si>
  <si>
    <t>1-07-05-990</t>
  </si>
  <si>
    <t>ALLAN V. MIRANDA, MPA</t>
  </si>
  <si>
    <t>OIC - City General Services Dept.</t>
  </si>
  <si>
    <t>Repairs &amp; Maintenance - Building and Other Structures</t>
  </si>
  <si>
    <t>Public Auction Sale of Delinquent Real Properties</t>
  </si>
  <si>
    <t>Information and Education Campaign on Tax Collection</t>
  </si>
  <si>
    <t>Inspection and Survey of Business informal sector</t>
  </si>
  <si>
    <t>Review and Update of Local Revenue Code</t>
  </si>
  <si>
    <t>Recognition of Top Business and Real Property Taxpayers and other economic contributors</t>
  </si>
  <si>
    <t>National and Local Election</t>
  </si>
  <si>
    <t>Barangay and SK Elections</t>
  </si>
  <si>
    <t>Interest Expenses</t>
  </si>
  <si>
    <t>5-03-01-020</t>
  </si>
  <si>
    <t>Other Financial Charges</t>
  </si>
  <si>
    <t>5-03-01-990</t>
  </si>
  <si>
    <t>Acting City Treasurer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</si>
  <si>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HEALTH DEPARTMENT</t>
    </r>
  </si>
  <si>
    <t>Subsistence Allowance</t>
  </si>
  <si>
    <t>5-01-02-050</t>
  </si>
  <si>
    <t>Laundry Allowance</t>
  </si>
  <si>
    <t>5-01-02-060</t>
  </si>
  <si>
    <t>Hazard Pay</t>
  </si>
  <si>
    <t>5-01-02-110</t>
  </si>
  <si>
    <t>Drugs and Medicines Expenses</t>
  </si>
  <si>
    <t>5-02-03-070</t>
  </si>
  <si>
    <t>Medical, Dental &amp; Laboratory Supplies Expenses</t>
  </si>
  <si>
    <t>5-02-03-080</t>
  </si>
  <si>
    <t>Repair and Maintenance- Buildings and other structures</t>
  </si>
  <si>
    <t>Repair and Maintenance- Machinery and Equipment</t>
  </si>
  <si>
    <t>Repair and Maintenance- Transportation Equipment</t>
  </si>
  <si>
    <t>Medical Equipment</t>
  </si>
  <si>
    <t>1-07-05-110</t>
  </si>
  <si>
    <t>Appropriation for Health Fund (RA 9019 - Charter of the City of Malabon)</t>
  </si>
  <si>
    <t>Enforcement of the Anti-Smoking Ordinance</t>
  </si>
  <si>
    <t>Health Education and Promotion Unit Operation</t>
  </si>
  <si>
    <t>Nutrition Program</t>
  </si>
  <si>
    <t>BERNADETTE E. BORDADOR, MD</t>
  </si>
  <si>
    <t>OIC - City Health Department</t>
  </si>
  <si>
    <t>Civil Registration Month Celebration</t>
  </si>
  <si>
    <t>Ate Jeannie cares for the Daycare</t>
  </si>
  <si>
    <t>Birth certificate ni Juan pagpasok ng grade 1</t>
  </si>
  <si>
    <t>Clerical Error, Sagot ni Mayor</t>
  </si>
  <si>
    <t>ATTY. ENRICO P. SEVILLA</t>
  </si>
  <si>
    <t xml:space="preserve"> City Civil Registrar</t>
  </si>
  <si>
    <t>Flood Control Systems</t>
  </si>
  <si>
    <t>1-07-03-020</t>
  </si>
  <si>
    <t>Other Infrastructure Assets</t>
  </si>
  <si>
    <t>1-07-03-990</t>
  </si>
  <si>
    <t>ENGR. HAROLD F. ARRANZ</t>
  </si>
  <si>
    <t>City Engineering Department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</si>
  <si>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SOCIAL WELFARE &amp; DEVELOPMENT DEPARTMENT</t>
    </r>
  </si>
  <si>
    <t>5-02-03-050</t>
  </si>
  <si>
    <t xml:space="preserve">Drugs and Medicines Expenses </t>
  </si>
  <si>
    <t>Fuel, Lubricants and Oils Expenses</t>
  </si>
  <si>
    <t>Conduct of Kids and Teens Court Awareness Activities</t>
  </si>
  <si>
    <t xml:space="preserve">After-care Support Services for Children in Need of Special Protection (CNSP) </t>
  </si>
  <si>
    <t>Establishment of Multi-Disciplinary Team (MDT)</t>
  </si>
  <si>
    <t>Youth Center Programs and Activities</t>
  </si>
  <si>
    <t>Conduct of Community Led Action for Children</t>
  </si>
  <si>
    <t>Conduct of Moving-up / Graduation Ceremony of Children enrolled in ECCD Program</t>
  </si>
  <si>
    <t>Support to Other ECCD Program, Projects and Activities</t>
  </si>
  <si>
    <t>Interventions for the Out-School-Youth in Malabon</t>
  </si>
  <si>
    <t>Alternative learning support to OSY</t>
  </si>
  <si>
    <t>Talent and skills enhancement program for OSY</t>
  </si>
  <si>
    <t>Arts and crafts enrichment program for OSY</t>
  </si>
  <si>
    <t>Entrepreneurship skills training for OSY</t>
  </si>
  <si>
    <t>Support to other youth programs and activities</t>
  </si>
  <si>
    <t>Provison of Economic Assistance</t>
  </si>
  <si>
    <t>Provision of psychosocial and other support services</t>
  </si>
  <si>
    <t>Community Support and Welfare projects and activities</t>
  </si>
  <si>
    <t>Issuance of City Ordinance Adopting the IRR of the Expanded Solo Parent Welfare Act of of 2021</t>
  </si>
  <si>
    <t>Conduct of symposium and seminar with stakeholders for the implementation of the Expanded Solo Parent Welfare Act</t>
  </si>
  <si>
    <t>Conduct of community session of Expanded Solo Parent Welfare Act</t>
  </si>
  <si>
    <t>Establishment of data banking management system</t>
  </si>
  <si>
    <t>Skills training for Solo Parent and provision of capital assistance for initial establishment of income generating project</t>
  </si>
  <si>
    <t>Support services for women and women organizations of Malabon</t>
  </si>
  <si>
    <t>Programs and services for Overseas Filipino Workers (OFWs)</t>
  </si>
  <si>
    <t>Capacity building for Men and other Men in Difficult Circumstances through ERPAT Program</t>
  </si>
  <si>
    <t>Support to Sectoral Program/Activities</t>
  </si>
  <si>
    <t>Support to ECCD Programs</t>
  </si>
  <si>
    <t>Support to Adolescent Center Programs</t>
  </si>
  <si>
    <t>Aid to Individuals in Crisis Situation (AICS)</t>
  </si>
  <si>
    <t>Local Committee on Anti-Trafficking and Violence against Women and Children (LCAT-VAWC)</t>
  </si>
  <si>
    <t>Assistance for Individuals/Families in Crisis Situation</t>
  </si>
  <si>
    <t>Appropriation for the implementation of the Programs, Projects and Activities of the Local Council for the Protection of Children (LCPC)</t>
  </si>
  <si>
    <t>LORELIE P. SORIANO, RSW</t>
  </si>
  <si>
    <t>OIC - City Social Welfare &amp; Dev't. Dept.</t>
  </si>
  <si>
    <t>Land (for Housing Projects)</t>
  </si>
  <si>
    <t>Recommended Expenditure Ceiling: 6,515,600.00 (This applies to MOOE/CO)</t>
  </si>
  <si>
    <t xml:space="preserve">Other General Services </t>
  </si>
  <si>
    <t>HON. BERNARD C. DELA CRUZ</t>
  </si>
  <si>
    <t>City Vice Mayor</t>
  </si>
  <si>
    <t xml:space="preserve">Salaries and Wages - Regular </t>
  </si>
  <si>
    <t>PCL, MMCL, NMYL &amp; 4L Programs, Projects and Activities</t>
  </si>
  <si>
    <t xml:space="preserve">Training Expenses              </t>
  </si>
  <si>
    <t>Repair and Maintenance - Machinery and Equipment</t>
  </si>
  <si>
    <t>PERSONAL SERVICES</t>
  </si>
  <si>
    <t>Salaries and Wages - Casual/Contractual/Part-Time</t>
  </si>
  <si>
    <t>Honoraria</t>
  </si>
  <si>
    <t>Other Bonuses and Allowance</t>
  </si>
  <si>
    <t>5-01-04-990</t>
  </si>
  <si>
    <t>TOTAL PERSONAL SERVICES</t>
  </si>
  <si>
    <t>MAINTENANCE &amp; OTHER OPERATING EXPENSES</t>
  </si>
  <si>
    <t>Food Supplies Expenses</t>
  </si>
  <si>
    <t>Medical, Dental and Laboratory Supplies Expenses</t>
  </si>
  <si>
    <t>Auditing Services</t>
  </si>
  <si>
    <t>5-02-11-020</t>
  </si>
  <si>
    <t>Repair &amp; Maintenance - Furniture and Fixtures</t>
  </si>
  <si>
    <t>Repair &amp; Maintenance - Other Property, Plant and Equipment</t>
  </si>
  <si>
    <t>Subsidy to Other Local Gov't. Units - Bgy. Tanods/STF</t>
  </si>
  <si>
    <t>5-02-14-030</t>
  </si>
  <si>
    <t>Centenarian Incentives (City Ordinance No. 07-2017)</t>
  </si>
  <si>
    <t>TOTAL MAINTENANCE &amp; OTHER OPERATING EXPENSES</t>
  </si>
  <si>
    <t>FINANCIAL EXPENSES</t>
  </si>
  <si>
    <t>TOTAL FINANCIAL EXPENSES</t>
  </si>
  <si>
    <t>CAPITAL OUTLAY</t>
  </si>
  <si>
    <t>Other Structures</t>
  </si>
  <si>
    <t>Disaster Responses and Rescue Equipment</t>
  </si>
  <si>
    <t>1-07-05-090</t>
  </si>
  <si>
    <t>TOTAL CAPITAL OUTLAY</t>
  </si>
  <si>
    <t>Development Programs/Projects (20%)</t>
  </si>
  <si>
    <t>Local Disaster Risk Reduction and Management (LDRRM) Programs/Projects (5% LDRRM Fund)</t>
  </si>
  <si>
    <t>Prior Years' Obligation</t>
  </si>
  <si>
    <t xml:space="preserve">5% MMDA Contribution (R.A. No. 7924) </t>
  </si>
  <si>
    <t>Financial Assistance to Barangays</t>
  </si>
  <si>
    <t>5% Gender and Development (GAD)</t>
  </si>
  <si>
    <t>Health Fund</t>
  </si>
  <si>
    <t>Livelihood Fund</t>
  </si>
  <si>
    <t>Educational Fund</t>
  </si>
  <si>
    <t>Scholarship Fund</t>
  </si>
  <si>
    <t>1% Local Council for the Protection of Children</t>
  </si>
  <si>
    <t>Aid to Señior Citizen and Persons with Disability</t>
  </si>
  <si>
    <t>TOTAL SPECIAL PURPOSE APPROPRIATIONS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</si>
  <si>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ACCOUNTING DEPARTMENT</t>
    </r>
  </si>
  <si>
    <t>PAST YEAR                                2023                             ( ACTUAL)</t>
  </si>
  <si>
    <t xml:space="preserve">CURRENT YEAR (ESTIMATE) 2024           </t>
  </si>
  <si>
    <t>BUDGET                          YEAR                                 2025 (PROPOSED)</t>
  </si>
  <si>
    <t>Annual Medical Allowance</t>
  </si>
  <si>
    <t>Monetization of Leave Credits</t>
  </si>
  <si>
    <t>ATTY. ANA D. JUANITO, CPA</t>
  </si>
  <si>
    <r>
      <rPr>
        <sz val="12"/>
        <color rgb="FF000000"/>
        <rFont val="Palatino Linotype"/>
        <family val="1"/>
      </rPr>
      <t xml:space="preserve">Office/Department: </t>
    </r>
    <r>
      <rPr>
        <b/>
        <sz val="12"/>
        <color rgb="FF000000"/>
        <rFont val="Palatino Linotype"/>
        <family val="1"/>
      </rPr>
      <t>BUSINESS PERMIT AND LICENSING OFFICE</t>
    </r>
  </si>
  <si>
    <t>PAST YEAR                                2023                                 ( ACTUAL)</t>
  </si>
  <si>
    <t xml:space="preserve">CURRENT YEAR (ESTIMATE) 2024               </t>
  </si>
  <si>
    <t xml:space="preserve">Accountable Forms </t>
  </si>
  <si>
    <t xml:space="preserve">Fuel, Oil and Lubricants Expenses  </t>
  </si>
  <si>
    <t>Internet Subscription Expense</t>
  </si>
  <si>
    <t xml:space="preserve">Membership Dues and Contribution to Organizations </t>
  </si>
  <si>
    <t>Motor Vehicle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</si>
  <si>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BUDGET DEPARTMENT</t>
    </r>
  </si>
  <si>
    <t xml:space="preserve">CURRENT YEAR (ESTIMATE) 2024                  </t>
  </si>
  <si>
    <t>Other Supplies and Materials Expense</t>
  </si>
  <si>
    <t xml:space="preserve">Representation Expenses 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</si>
  <si>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COOPERATIVE DEVELOPMENT OFFICE</t>
    </r>
  </si>
  <si>
    <t>PAST YEAR                                2023                             
(ACTUAL)</t>
  </si>
  <si>
    <t xml:space="preserve">CURRENT YEAR (ESTIMATE) 2024              </t>
  </si>
  <si>
    <t>Maintenance and Other Operating Expenses</t>
  </si>
  <si>
    <r>
      <t xml:space="preserve">Office/Department: </t>
    </r>
    <r>
      <rPr>
        <b/>
        <sz val="12"/>
        <color theme="1"/>
        <rFont val="Palatino Linotype"/>
        <family val="1"/>
      </rPr>
      <t>CITY CIVIL REGISTRY DEPARTMENT</t>
    </r>
  </si>
  <si>
    <t xml:space="preserve">CURRENT YEAR (ESTIMATE) 2024                 </t>
  </si>
  <si>
    <t xml:space="preserve">Transportation and Delivery Expenses 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</si>
  <si>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ENGINEERING DEPARTMENT</t>
    </r>
  </si>
  <si>
    <t>PAST YEAR                                2023                              ( ACTUAL)</t>
  </si>
  <si>
    <t xml:space="preserve">CURRENT YEAR (ESTIMATE) 2024            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</si>
  <si>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ENVIRONMENTAL AND NATURAL RESOURCES OFFICE</t>
    </r>
  </si>
  <si>
    <t>ACCOUNT
CODE
(PPSAS)</t>
  </si>
  <si>
    <t>PAST YEAR
2023
(ACTUAL)</t>
  </si>
  <si>
    <t>BUDGET  YEAR
2025
(ACTUAL)</t>
  </si>
  <si>
    <t>Clean Up Activity</t>
  </si>
  <si>
    <t>Bantay Estero Program</t>
  </si>
  <si>
    <t>PAST YEAR                                2023                               ( ACTUAL)</t>
  </si>
  <si>
    <t xml:space="preserve">Other Personnel Benefits </t>
  </si>
  <si>
    <t>MAINTENANCE AND OTHER OPERATING EXPENSES</t>
  </si>
  <si>
    <t>Mental Health Program</t>
  </si>
  <si>
    <t>Conduct of Regular Blood Letting Activities</t>
  </si>
  <si>
    <t>Rabies Prevention and Control Program</t>
  </si>
  <si>
    <t>Environmental/Sanitation Program &amp; Services</t>
  </si>
  <si>
    <t>DRRM-H Functional City Disaster Risk Reduction</t>
  </si>
  <si>
    <t xml:space="preserve">Universal Health Care Implementation </t>
  </si>
  <si>
    <r>
      <t xml:space="preserve">Office/Department: </t>
    </r>
    <r>
      <rPr>
        <b/>
        <sz val="12"/>
        <color theme="1"/>
        <rFont val="Palatino Linotype"/>
        <family val="1"/>
      </rPr>
      <t>CITY HOUSING AND URBAN DEVELOPMENT DEPARTMENT</t>
    </r>
  </si>
  <si>
    <t>Office Supplies</t>
  </si>
  <si>
    <t>Conduct of Year-end Assessment</t>
  </si>
  <si>
    <t>OIC-City Housing &amp; Urban Development Department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</si>
  <si>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OFFICE OF THE SANGGUNIANG PANLUNGSOD</t>
    </r>
  </si>
  <si>
    <t>PAST YEAR
2023
( ACTUAL)</t>
  </si>
  <si>
    <t xml:space="preserve">CURRENT YEAR (ESTIMATE) 2024                </t>
  </si>
  <si>
    <t>BUDGET  YEAR
2025
( PROPOSED)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</si>
  <si>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LEGAL DEPARTMENT</t>
    </r>
  </si>
  <si>
    <t>PAST YEAR                                2023                                ( ACTUAL)</t>
  </si>
  <si>
    <t>ATTY. LUIS ARMANDO C. ENEMIDO</t>
  </si>
  <si>
    <t>OIC - City Legal Department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</si>
  <si>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OF MALABON ANTI DRUG ABUSE OFFICE</t>
    </r>
  </si>
  <si>
    <t>BUDGET YEAR
2025
(ACTUAL)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</si>
  <si>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OF MALABON POLYTECHNIC INSTITUTE</t>
    </r>
  </si>
  <si>
    <t>PAST YEAR 2023
(ACTUAL)</t>
  </si>
  <si>
    <t xml:space="preserve">CURRENT YEAR (ESTIMATE) 2024             </t>
  </si>
  <si>
    <t>BUDGET YEAR
2025
(PROPOSED)</t>
  </si>
  <si>
    <t>Salaries and Wages - Casual / Contractual</t>
  </si>
  <si>
    <t>MOSES KAENEL V. BERGADO, PhD, DSc</t>
  </si>
  <si>
    <r>
      <t xml:space="preserve">Office/Department: </t>
    </r>
    <r>
      <rPr>
        <b/>
        <sz val="12"/>
        <color theme="1"/>
        <rFont val="Palatino Linotype"/>
        <family val="1"/>
      </rPr>
      <t>CITY OF MALABON UNIVERSITY</t>
    </r>
  </si>
  <si>
    <t>Office Supplies Expense</t>
  </si>
  <si>
    <t>Drugs and Medicines Expense</t>
  </si>
  <si>
    <t>Fuel, Oil and Lubricant Expense</t>
  </si>
  <si>
    <t>Textbook and Instructional Materials Expense</t>
  </si>
  <si>
    <t>Water Expense</t>
  </si>
  <si>
    <t>Electricity Expense</t>
  </si>
  <si>
    <t>Research, Exploration and Development Expense</t>
  </si>
  <si>
    <t>5-02-07-020</t>
  </si>
  <si>
    <t>Conduct of ROTC and CWTS activities and programs</t>
  </si>
  <si>
    <t>Conduct of CMU Graduation Day</t>
  </si>
  <si>
    <t>Conduct of CMU College Week Celebration</t>
  </si>
  <si>
    <t>Conduct of CMU Foundation Celebration</t>
  </si>
  <si>
    <t>Institutional Recognition and Accreditation</t>
  </si>
  <si>
    <t>CMU Cultural Activities</t>
  </si>
  <si>
    <t>GLEN V. DE LEON, Ph.D.</t>
  </si>
  <si>
    <t>University President</t>
  </si>
  <si>
    <t>CURRENT YEAR (ESTIMATE) 2024</t>
  </si>
  <si>
    <t>Monetization of Leave Benefits</t>
  </si>
  <si>
    <t>Travelling Expenses - Foreign</t>
  </si>
  <si>
    <t>5-02-01-020</t>
  </si>
  <si>
    <t xml:space="preserve">Support to Operation and Maintenance of Tonsuya Integrated School </t>
  </si>
  <si>
    <t>Subsidy to Public Attorney's Office</t>
  </si>
  <si>
    <t>Support to Zoom and other similar application</t>
  </si>
  <si>
    <t>Support to Literacy Development and Establishment of Literacy Centers</t>
  </si>
  <si>
    <t>Support to Other Sport Development Programs, Projects and Activities</t>
  </si>
  <si>
    <r>
      <rPr>
        <sz val="12"/>
        <color theme="1"/>
        <rFont val="Palatino Linotype"/>
        <family val="1"/>
      </rPr>
      <t>Office/Department:</t>
    </r>
    <r>
      <rPr>
        <b/>
        <sz val="12"/>
        <color theme="1"/>
        <rFont val="Palatino Linotype"/>
        <family val="1"/>
      </rPr>
      <t xml:space="preserve"> INTERNAL AUDIT SERVICE OFFICE</t>
    </r>
  </si>
  <si>
    <t>ATTY. BIANCA MARIE E. ESPIRITU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</si>
  <si>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PUBLIC SAFETY AND TRAFFIC MANAGEMENT OFFICE</t>
    </r>
  </si>
  <si>
    <t>Fuel, Oil and Lubricant Expenses</t>
  </si>
  <si>
    <t>5-03-99-990</t>
  </si>
  <si>
    <t>PAST YEAR                                2023                           ( ACTUAL)</t>
  </si>
  <si>
    <t xml:space="preserve">CURRENT YEAR (ESTIMATE) 2024         </t>
  </si>
  <si>
    <t>BUDGET YEAR                                2025                              (PROPOSED)</t>
  </si>
  <si>
    <t>Taxes, Duties and Licences</t>
  </si>
  <si>
    <t>Appropriation for the Local Disaster Risk Reduction and Management</t>
  </si>
  <si>
    <t>30% Quick Response Fund (QRF)</t>
  </si>
  <si>
    <t>70% Disaster Preparedness and Mitigation Fund</t>
  </si>
  <si>
    <t>Welfare Goods Expenses</t>
  </si>
  <si>
    <t>5-02-03-060</t>
  </si>
  <si>
    <t>Drugs and Medicines Supplies Expenses</t>
  </si>
  <si>
    <t>Repair and Maintenance - Machinery &amp; Equipment</t>
  </si>
  <si>
    <t>TOTAL MOOE</t>
  </si>
  <si>
    <t>Capital Outlay</t>
  </si>
  <si>
    <t>Property, Plant and Equipment</t>
  </si>
  <si>
    <t>Building and Other Structures</t>
  </si>
  <si>
    <t>Disaster Response and Rescue Equipment</t>
  </si>
  <si>
    <t>Other Transportation Equipment</t>
  </si>
  <si>
    <t>1-07-06-990</t>
  </si>
  <si>
    <t>TOTAL CO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</si>
  <si>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 xml:space="preserve">COMMUNITY AND URBAN POOR AFFAIRS OFFICE </t>
    </r>
  </si>
  <si>
    <t>BUDGET     YEAR  2025 (PROPOSED)</t>
  </si>
  <si>
    <t>MARCELL DAVE M. UNATING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</si>
  <si>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LIBRARY</t>
    </r>
  </si>
  <si>
    <t xml:space="preserve">Internet Subscription Expenses </t>
  </si>
  <si>
    <t>NOVA F. LUBONG, RL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</si>
  <si>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TOURISM AND CULTURAL AFFAIRS OFFICE</t>
    </r>
  </si>
  <si>
    <t>Conduct of monthly meeting/fellowship of cultural and arts group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</si>
  <si>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PUBLIC EMPLOYMENT SERVICE OFFICE</t>
    </r>
  </si>
  <si>
    <t>ACCOUNT CODE
(PPSAS)</t>
  </si>
  <si>
    <t>PAST YEAR 2023
( ACTUAL)</t>
  </si>
  <si>
    <t>BUDGET YEAR 2023
( PROPOSED)</t>
  </si>
  <si>
    <t>Career Guidance and Support Program (CGSP)</t>
  </si>
  <si>
    <t>LUZIEL G. BALAJADIA, MPA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</si>
  <si>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MAYOR'S COMPLAINT AND ACTION TEAM</t>
    </r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</si>
  <si>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MALABON PUBLIC INFORMATION OFFICE</t>
    </r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</si>
  <si>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OFFICE OF THE SENIOR CITIZEN</t>
    </r>
  </si>
  <si>
    <t>PAST YEAR 2023                    (ACTUAL)</t>
  </si>
  <si>
    <t>BUDGET YEAR 2025 (PROPOSED)</t>
  </si>
  <si>
    <t xml:space="preserve">Honoraria  </t>
  </si>
  <si>
    <t>PATRIA B. AGCAOILI, RSW</t>
  </si>
  <si>
    <t>OSCA Head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</si>
  <si>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PERSON WITH DISABILITY AFFAIRS OFFICE (PDAO)</t>
    </r>
  </si>
  <si>
    <t xml:space="preserve">CURRENT YEAR (ESTIMATE) 2024        </t>
  </si>
  <si>
    <t xml:space="preserve">Printing and Publication Expenses </t>
  </si>
  <si>
    <t>MARK MATHEW V. OPERIANO, MA</t>
  </si>
  <si>
    <t>OIC - PDAO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</si>
  <si>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SPORTS DEVELOPMENT OFFICE</t>
    </r>
  </si>
  <si>
    <t>Tulong Pinansyal sa Atletang Malabueños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</si>
  <si>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MARKET MANAGEMENT OFFICE</t>
    </r>
  </si>
  <si>
    <r>
      <t>PAST YEAR 2023</t>
    </r>
    <r>
      <rPr>
        <b/>
        <sz val="12"/>
        <color theme="0"/>
        <rFont val="Palatino Linotype"/>
        <family val="1"/>
      </rPr>
      <t xml:space="preserve">                                     </t>
    </r>
    <r>
      <rPr>
        <b/>
        <sz val="12"/>
        <color theme="1"/>
        <rFont val="Palatino Linotype"/>
        <family val="1"/>
      </rPr>
      <t>(ACTUAL)</t>
    </r>
  </si>
  <si>
    <t>OIC - Market Management Office</t>
  </si>
  <si>
    <t>BUDGET YEAR                                2025                                   (PROPOSED)</t>
  </si>
  <si>
    <t xml:space="preserve">Other Maintenance &amp; Operating Expenses  </t>
  </si>
  <si>
    <t>Hospital and Health Centers</t>
  </si>
  <si>
    <t>1-07-04-030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</si>
  <si>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OFFICE OF THE CITY ADMINISTRATOR</t>
    </r>
  </si>
  <si>
    <t xml:space="preserve">CURRENT YEAR (ESTIMATE) 2024          </t>
  </si>
  <si>
    <r>
      <t xml:space="preserve">Office/Department: </t>
    </r>
    <r>
      <rPr>
        <b/>
        <sz val="12"/>
        <color theme="1"/>
        <rFont val="Palatino Linotype"/>
        <family val="1"/>
      </rPr>
      <t>CITY HUMAN RESOURCE MANAGEMENT AND DEVELOPMENT DEPARTMENT</t>
    </r>
  </si>
  <si>
    <t>ACCOUNT  CODE
(PPSAS)</t>
  </si>
  <si>
    <t>PAST YEAR  2023
(ACTUAL)</t>
  </si>
  <si>
    <t>BUDGET
YEAR
2025 (PROPOSED)</t>
  </si>
  <si>
    <t>Traveling Expenses- Local</t>
  </si>
  <si>
    <t>Comprehensive Insurance Coverage for Casual employees, Contractual employees, Job Order Personnel and contract of service personnel</t>
  </si>
  <si>
    <t>Civil Service Month Celebration</t>
  </si>
  <si>
    <t>Conduct of HR Focal/employee-related meetings, assembly and other activities</t>
  </si>
  <si>
    <t>Civil Service Exam (CSE) Review Program</t>
  </si>
  <si>
    <t>Expanded Tertiary Education for employees/personnel and Executive Program for city officials</t>
  </si>
  <si>
    <t>PAST YEAR                                2023                             (ACTUAL)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</si>
  <si>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GENERAL SERVICES DEPARTMENT</t>
    </r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</si>
  <si>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TREASURY DEPARTMENT</t>
    </r>
  </si>
  <si>
    <t>FEDERICO S. RESENTE, JR., CPA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</si>
  <si>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CITY ASSESSMENT DEPARTMENT</t>
    </r>
  </si>
  <si>
    <t>Monetization of Leave Credit</t>
  </si>
  <si>
    <t>CARLO A. AQUINO, REA</t>
  </si>
  <si>
    <t>OIC - City Assessment Department</t>
  </si>
  <si>
    <t>Conduct of Year-end Planning Workshop and Program Review</t>
  </si>
  <si>
    <t>Cash for Training and Work</t>
  </si>
  <si>
    <t>Provision of Financial Aid to Children in Victims of Abuse</t>
  </si>
  <si>
    <t>Support for the Implementation of 4Ps</t>
  </si>
  <si>
    <t>Support to National Solo Parent Week and Seminar</t>
  </si>
  <si>
    <t>Sagip Kalinga/Reach Out Operation</t>
  </si>
  <si>
    <t>Early Child and Development Program</t>
  </si>
  <si>
    <t>Support to National Foster Care and Adoption Program</t>
  </si>
  <si>
    <t>Provision of Food Packs to Families/Individuals in Crisis Situations</t>
  </si>
  <si>
    <t>Pasasalamat sa Diwa ng Lumipas na Taon - Year End Thanksgiving 2025</t>
  </si>
  <si>
    <r>
      <rPr>
        <sz val="12"/>
        <color rgb="FF000000"/>
        <rFont val="Palatino Linotype"/>
        <family val="1"/>
      </rPr>
      <t xml:space="preserve">Office/Department: </t>
    </r>
    <r>
      <rPr>
        <b/>
        <sz val="12"/>
        <color rgb="FF000000"/>
        <rFont val="Palatino Linotype"/>
        <family val="1"/>
      </rPr>
      <t>OFFICE OF THE CITY VICE MAYOR</t>
    </r>
  </si>
  <si>
    <t>ACCOUNT
CODE (PPSAS)</t>
  </si>
  <si>
    <t>BUDGET YEAR
 2025
( PROPOSED)</t>
  </si>
  <si>
    <t>PCL Week Activities</t>
  </si>
  <si>
    <r>
      <rPr>
        <sz val="12"/>
        <color theme="1"/>
        <rFont val="Palatino Linotype"/>
        <family val="1"/>
      </rPr>
      <t xml:space="preserve">Office/Department: </t>
    </r>
    <r>
      <rPr>
        <b/>
        <sz val="12"/>
        <color theme="1"/>
        <rFont val="Palatino Linotype"/>
        <family val="1"/>
      </rPr>
      <t>OFFICE OF THE SECRETARY TO THE SANGGUNIAN</t>
    </r>
  </si>
  <si>
    <t>BUDGET YEAR
2025
( ACTUAL)</t>
  </si>
  <si>
    <t>PARTICULARS</t>
  </si>
  <si>
    <t>CURRENT YEAR APPROPRIATION 2024</t>
  </si>
  <si>
    <t>(8)</t>
  </si>
  <si>
    <t>EXPENDITURES</t>
  </si>
  <si>
    <t>Monetization of Leave Benifits</t>
  </si>
  <si>
    <t>Scholarship Grants/Expenses</t>
  </si>
  <si>
    <t>5-02-02-020</t>
  </si>
  <si>
    <t>Non-Accountable Forms</t>
  </si>
  <si>
    <t>5-02-03-030</t>
  </si>
  <si>
    <t>Awards/Rewards Expenses</t>
  </si>
  <si>
    <t>5-02-06-010</t>
  </si>
  <si>
    <t>Survey Expenses</t>
  </si>
  <si>
    <t>5-02-07-010</t>
  </si>
  <si>
    <t>Research, Exploration and Development Expenses</t>
  </si>
  <si>
    <t>Legal Services</t>
  </si>
  <si>
    <t>5-02-11-010</t>
  </si>
  <si>
    <r>
      <t xml:space="preserve">Subsidy to Local Economic Enterprises </t>
    </r>
    <r>
      <rPr>
        <sz val="8"/>
        <rFont val="Palatino Linotype"/>
        <family val="1"/>
      </rPr>
      <t>(City of Malabon University)</t>
    </r>
  </si>
  <si>
    <t>Loans Payable - Domestic</t>
  </si>
  <si>
    <t>2-01-02-040</t>
  </si>
  <si>
    <t>Other Land Improvements</t>
  </si>
  <si>
    <t>1-07-02-990</t>
  </si>
  <si>
    <t>School Buildings</t>
  </si>
  <si>
    <t>1-07-04-020</t>
  </si>
  <si>
    <t>Hospitals and Health Centers</t>
  </si>
  <si>
    <t>Machinery</t>
  </si>
  <si>
    <t>1-07-05-010</t>
  </si>
  <si>
    <t>Agricultural and Forestry Equipment</t>
  </si>
  <si>
    <t>1-07-05-040</t>
  </si>
  <si>
    <t>Sports Equipment</t>
  </si>
  <si>
    <t>1-07-05-130</t>
  </si>
  <si>
    <t>Technical and Scientific  Equipment</t>
  </si>
  <si>
    <t>1-07-05-140</t>
  </si>
  <si>
    <t>Watercrafts</t>
  </si>
  <si>
    <t>1-07-06-040</t>
  </si>
  <si>
    <t>Books</t>
  </si>
  <si>
    <t>1-07-07-020</t>
  </si>
  <si>
    <t>Computer Software</t>
  </si>
  <si>
    <t>1-09-01-020</t>
  </si>
  <si>
    <t>TOTAL EXPENDITURES</t>
  </si>
  <si>
    <t xml:space="preserve">                We hereby certify that the information presented above are true and correct. We futher certify that the foregoing estimated receipts are reasonably projected as collectible for the Budget Year.</t>
  </si>
  <si>
    <t>FEDERICO S, RESENTE JR., CPA</t>
  </si>
  <si>
    <t xml:space="preserve">                                                    Acting City Treasurer                                                           </t>
  </si>
  <si>
    <t>ATTY. ANA D. JUANITO</t>
  </si>
  <si>
    <t>OIC - City Accounting Dept.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</si>
</sst>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(* #,##0.00_);_(* \(#,##0.00\);_(* &quot;-&quot;??_);_(@_)"/>
    <numFmt numFmtId="165" formatCode="#,##0.00_ ;\-#,##0.00\ "/>
    <numFmt numFmtId="166" formatCode="_-* #,##0.00_-;\-* #,##0.00_-;_-* &quot;-&quot;??_-;_-@"/>
    <numFmt numFmtId="167" formatCode="#,##0.00_ ;[Red]\-#,##0.00\ "/>
    <numFmt numFmtId="168" formatCode="#,##0.0000000_ ;\-#,##0.0000000\ "/>
    <numFmt numFmtId="169" formatCode="#,##0.0000_ ;[Red]\-#,##0.0000\ "/>
    <numFmt numFmtId="170" formatCode="#,##0.0000000_ ;[Red]\-#,##0.0000000\ "/>
    <numFmt numFmtId="171" formatCode="#,##0.00_);\!\(#,##0.00\!\)"/>
    <numFmt numFmtId="172" formatCode="#,##0.00_);[Red]\!\(#,##0.00\!\)"/>
    <numFmt numFmtId="173" formatCode="0.00_ ;\-0.00\ "/>
    <numFmt numFmtId="174" formatCode="#,##0_);\!\(#,##0\!\)"/>
    <numFmt numFmtId="175" formatCode="#,##0.00;[Red]#,##0.00"/>
    <numFmt numFmtId="176" formatCode="#,##0.0_ ;\-#,##0.0\ "/>
  </numFmts>
  <fonts count="60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rgb="FFFF0000"/>
      <name val="Calibri"/>
      <family val="2"/>
    </font>
    <font>
      <b/>
      <sz val="11"/>
      <color rgb="FF000000"/>
      <name val="Calibri"/>
      <family val="2"/>
    </font>
    <font>
      <sz val="7"/>
      <color rgb="FF000000"/>
      <name val="Calibri"/>
      <family val="2"/>
    </font>
    <font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sz val="9"/>
      <color theme="1"/>
      <name val="Palatino Linotype"/>
      <family val="1"/>
    </font>
    <font>
      <sz val="12"/>
      <color theme="1"/>
      <name val="Palatino Linotype"/>
      <family val="1"/>
    </font>
    <font>
      <sz val="12"/>
      <color theme="0"/>
      <name val="Palatino Linotype"/>
      <family val="1"/>
    </font>
    <font>
      <b/>
      <sz val="14"/>
      <color theme="1"/>
      <name val="Palatino Linotype"/>
      <family val="1"/>
    </font>
    <font>
      <sz val="10"/>
      <color theme="0"/>
      <name val="Arial"/>
      <family val="2"/>
    </font>
    <font>
      <sz val="10"/>
      <color theme="1"/>
      <name val="Arial"/>
      <family val="2"/>
    </font>
    <font>
      <b/>
      <sz val="12"/>
      <color theme="1"/>
      <name val="Palatino Linotype"/>
      <family val="1"/>
    </font>
    <font>
      <sz val="11"/>
      <name val="Calibri"/>
      <family val="2"/>
    </font>
    <font>
      <b/>
      <sz val="11"/>
      <color theme="1"/>
      <name val="Palatino Linotype"/>
      <family val="1"/>
    </font>
    <font>
      <sz val="11"/>
      <color theme="1"/>
      <name val="Palatino Linotype"/>
      <family val="1"/>
    </font>
    <font>
      <sz val="10"/>
      <name val="Arial"/>
      <family val="2"/>
    </font>
    <font>
      <sz val="11"/>
      <name val="Palatino Linotype"/>
      <family val="1"/>
    </font>
    <font>
      <sz val="12"/>
      <color rgb="FF000000"/>
      <name val="Palatino Linotype"/>
      <family val="1"/>
    </font>
    <font>
      <b/>
      <sz val="12"/>
      <color rgb="FF000000"/>
      <name val="Palatino Linotype"/>
      <family val="1"/>
    </font>
    <font>
      <b/>
      <sz val="11"/>
      <color rgb="FF000000"/>
      <name val="Palatino Linotype"/>
      <family val="1"/>
    </font>
    <font>
      <b/>
      <sz val="13"/>
      <color theme="1"/>
      <name val="Palatino Linotype"/>
      <family val="1"/>
    </font>
    <font>
      <b/>
      <sz val="12"/>
      <color theme="0"/>
      <name val="Palatino Linotype"/>
      <family val="1"/>
    </font>
    <font>
      <sz val="12"/>
      <color rgb="FF000000"/>
      <name val="&quot;Palatino Linotype&quot;"/>
    </font>
    <font>
      <b/>
      <i/>
      <sz val="12"/>
      <color rgb="FF000000"/>
      <name val="Palatino Linotype"/>
      <family val="1"/>
    </font>
    <font>
      <sz val="11"/>
      <color rgb="FF000000"/>
      <name val="Palatino Linotype"/>
      <family val="1"/>
    </font>
    <font>
      <b/>
      <i/>
      <sz val="12"/>
      <color theme="1"/>
      <name val="Palatino Linotype"/>
      <family val="1"/>
    </font>
    <font>
      <sz val="10"/>
      <color theme="1"/>
      <name val="Palatino Linotype"/>
      <family val="1"/>
    </font>
    <font>
      <sz val="12"/>
      <color theme="1"/>
      <name val="&quot;Palatino Linotype&quot;"/>
    </font>
    <font>
      <sz val="11"/>
      <color theme="1"/>
      <name val="&quot;Ȫrial Narrow\&quot;&quot;"/>
    </font>
    <font>
      <sz val="7"/>
      <color theme="1"/>
      <name val="Palatino Linotype"/>
      <family val="1"/>
    </font>
    <font>
      <sz val="12"/>
      <name val="Palatino Linotype"/>
      <family val="1"/>
    </font>
    <font>
      <sz val="11"/>
      <color rgb="FF000000"/>
      <name val="Book Antiqua"/>
      <family val="1"/>
    </font>
    <font>
      <i/>
      <sz val="12"/>
      <color theme="1"/>
      <name val="Palatino Linotype"/>
      <family val="1"/>
    </font>
    <font>
      <b/>
      <sz val="12"/>
      <name val="Palatino Linotype"/>
      <family val="1"/>
    </font>
    <font>
      <sz val="10"/>
      <color rgb="FF000000"/>
      <name val="Arial"/>
      <family val="2"/>
    </font>
    <font>
      <sz val="11"/>
      <color theme="1"/>
      <name val="&quot;Tw Cen MT Condensed&quot;"/>
    </font>
    <font>
      <sz val="11"/>
      <color rgb="FF000000"/>
      <name val="Calibri"/>
    </font>
    <font>
      <b/>
      <sz val="9"/>
      <color rgb="FF000000"/>
      <name val="Palatino Linotype"/>
      <family val="1"/>
    </font>
    <font>
      <b/>
      <sz val="14"/>
      <color rgb="FF000000"/>
      <name val="Palatino Linotype"/>
      <family val="1"/>
    </font>
    <font>
      <sz val="12"/>
      <color rgb="FFFF0000"/>
      <name val="Palatino Linotype"/>
      <family val="1"/>
    </font>
    <font>
      <b/>
      <sz val="16"/>
      <name val="Book Antiqua"/>
      <family val="1"/>
    </font>
    <font>
      <b/>
      <sz val="9"/>
      <name val="Book Antiqua"/>
      <family val="1"/>
    </font>
    <font>
      <b/>
      <sz val="11"/>
      <name val="Book Antiqua"/>
      <family val="1"/>
    </font>
    <font>
      <b/>
      <sz val="12"/>
      <name val="Book Antiqua"/>
      <family val="1"/>
    </font>
    <font>
      <sz val="12"/>
      <name val="Book Antiqua"/>
      <family val="1"/>
    </font>
    <font>
      <b/>
      <sz val="10"/>
      <name val="Book Antiqua"/>
      <family val="1"/>
    </font>
    <font>
      <sz val="12"/>
      <name val="Times New Roman"/>
      <family val="1"/>
    </font>
    <font>
      <b/>
      <sz val="14"/>
      <name val="Book Antiqua"/>
      <family val="1"/>
    </font>
    <font>
      <sz val="13"/>
      <name val="Book Antiqua"/>
      <family val="1"/>
    </font>
    <font>
      <b/>
      <sz val="13"/>
      <name val="Book Antiqua"/>
      <family val="1"/>
    </font>
    <font>
      <sz val="9"/>
      <name val="Book Antiqua"/>
      <family val="1"/>
    </font>
    <font>
      <sz val="8"/>
      <name val="Palatino Linotype"/>
      <family val="1"/>
    </font>
    <font>
      <sz val="11"/>
      <name val="Book Antiqua"/>
      <family val="1"/>
    </font>
    <font>
      <b/>
      <sz val="14"/>
      <name val="Palatino Linotype"/>
      <family val="1"/>
    </font>
    <font>
      <sz val="14"/>
      <name val="Book Antiqua"/>
      <family val="1"/>
    </font>
    <font>
      <sz val="13"/>
      <name val="Palatino Linotype"/>
      <family val="1"/>
    </font>
  </fonts>
  <fills count="7">
    <fill>
      <patternFill patternType="none"/>
    </fill>
    <fill>
      <patternFill patternType="gray125"/>
    </fill>
    <fill>
      <patternFill patternType="none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0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double">
        <color rgb="FF000000"/>
      </right>
      <top/>
      <bottom/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double">
        <color rgb="FF000000"/>
      </right>
      <top style="thin">
        <color rgb="FF000000"/>
      </top>
      <bottom style="thin">
        <color indexed="64"/>
      </bottom>
      <diagonal/>
    </border>
    <border>
      <left style="double">
        <color rgb="FF000000"/>
      </left>
      <right/>
      <top/>
      <bottom/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double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indexed="64"/>
      </bottom>
      <diagonal/>
    </border>
    <border>
      <left style="thin">
        <color rgb="FF000000"/>
      </left>
      <right style="double">
        <color rgb="FF000000"/>
      </right>
      <top style="double">
        <color rgb="FF000000"/>
      </top>
      <bottom style="thin">
        <color indexed="64"/>
      </bottom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 style="double">
        <color rgb="FF000000"/>
      </bottom>
      <diagonal/>
    </border>
    <border>
      <left style="double">
        <color theme="1"/>
      </left>
      <right style="double">
        <color rgb="FF000000"/>
      </right>
      <top style="double">
        <color theme="1"/>
      </top>
      <bottom/>
      <diagonal/>
    </border>
    <border>
      <left style="double">
        <color rgb="FF000000"/>
      </left>
      <right style="double">
        <color rgb="FF000000"/>
      </right>
      <top style="double">
        <color theme="1"/>
      </top>
      <bottom/>
      <diagonal/>
    </border>
    <border>
      <left style="double">
        <color rgb="FF000000"/>
      </left>
      <right/>
      <top style="double">
        <color theme="1"/>
      </top>
      <bottom/>
      <diagonal/>
    </border>
    <border>
      <left/>
      <right/>
      <top style="double">
        <color theme="1"/>
      </top>
      <bottom/>
      <diagonal/>
    </border>
    <border>
      <left/>
      <right style="double">
        <color rgb="FF000000"/>
      </right>
      <top style="double">
        <color theme="1"/>
      </top>
      <bottom/>
      <diagonal/>
    </border>
    <border>
      <left style="double">
        <color theme="1"/>
      </left>
      <right style="double">
        <color rgb="FF000000"/>
      </right>
      <top/>
      <bottom/>
      <diagonal/>
    </border>
    <border>
      <left style="double">
        <color theme="1"/>
      </left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 style="double">
        <color theme="1"/>
      </right>
      <top/>
      <bottom style="double">
        <color rgb="FF000000"/>
      </bottom>
      <diagonal/>
    </border>
    <border>
      <left style="double">
        <color theme="1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theme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theme="1"/>
      </left>
      <right style="thin">
        <color rgb="FF000000"/>
      </right>
      <top style="thin">
        <color rgb="FF000000"/>
      </top>
      <bottom/>
      <diagonal/>
    </border>
    <border>
      <left style="double">
        <color theme="1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double">
        <color theme="1"/>
      </left>
      <right style="thin">
        <color rgb="FF000000"/>
      </right>
      <top/>
      <bottom style="thin">
        <color rgb="FF000000"/>
      </bottom>
      <diagonal/>
    </border>
    <border>
      <left style="double">
        <color theme="1"/>
      </left>
      <right style="thin">
        <color rgb="FF000000"/>
      </right>
      <top style="double">
        <color rgb="FF000000"/>
      </top>
      <bottom/>
      <diagonal/>
    </border>
    <border>
      <left style="double">
        <color theme="1"/>
      </left>
      <right style="thin">
        <color rgb="FF000000"/>
      </right>
      <top style="medium">
        <color theme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theme="1"/>
      </top>
      <bottom style="thin">
        <color rgb="FF000000"/>
      </bottom>
      <diagonal/>
    </border>
    <border>
      <left style="double">
        <color theme="1"/>
      </left>
      <right style="double">
        <color rgb="FF000000"/>
      </right>
      <top style="double">
        <color rgb="FF000000"/>
      </top>
      <bottom style="double">
        <color theme="1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theme="1"/>
      </bottom>
      <diagonal/>
    </border>
    <border>
      <left style="thin">
        <color rgb="FF000000"/>
      </left>
      <right style="thin">
        <color indexed="64"/>
      </right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rgb="FF000000"/>
      </right>
      <top/>
      <bottom/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000000"/>
      </right>
      <top style="thin">
        <color indexed="64"/>
      </top>
      <bottom style="thin">
        <color indexed="64"/>
      </bottom>
      <diagonal/>
    </border>
    <border>
      <left style="double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/>
      <diagonal/>
    </border>
    <border>
      <left style="double">
        <color rgb="FF000000"/>
      </left>
      <right style="double">
        <color indexed="64"/>
      </right>
      <top/>
      <bottom style="double">
        <color rgb="FF000000"/>
      </bottom>
      <diagonal/>
    </border>
    <border>
      <left style="thin">
        <color rgb="FF000000"/>
      </left>
      <right style="double">
        <color indexed="64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indexed="64"/>
      </right>
      <top style="thin">
        <color rgb="FF000000"/>
      </top>
      <bottom style="thin">
        <color rgb="FF000000"/>
      </bottom>
      <diagonal/>
    </border>
    <border>
      <left/>
      <right style="double">
        <color indexed="64"/>
      </right>
      <top style="thin">
        <color rgb="FF000000"/>
      </top>
      <bottom style="thin">
        <color rgb="FF000000"/>
      </bottom>
      <diagonal/>
    </border>
    <border>
      <left/>
      <right style="double">
        <color indexed="64"/>
      </right>
      <top style="thin">
        <color rgb="FF000000"/>
      </top>
      <bottom style="thin">
        <color indexed="64"/>
      </bottom>
      <diagonal/>
    </border>
    <border>
      <left style="double">
        <color rgb="FF000000"/>
      </left>
      <right style="double">
        <color indexed="64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double">
        <color indexed="64"/>
      </right>
      <top/>
      <bottom style="thin">
        <color rgb="FF000000"/>
      </bottom>
      <diagonal/>
    </border>
    <border>
      <left/>
      <right style="double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double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double">
        <color rgb="FF000000"/>
      </left>
      <right style="thin">
        <color indexed="64"/>
      </right>
      <top style="double">
        <color rgb="FF000000"/>
      </top>
      <bottom style="double">
        <color rgb="FF000000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rgb="FF000000"/>
      </top>
      <bottom style="double">
        <color rgb="FF000000"/>
      </bottom>
      <diagonal/>
    </border>
    <border>
      <left/>
      <right style="double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double">
        <color rgb="FF000000"/>
      </right>
      <top style="thin">
        <color indexed="64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indexed="64"/>
      </right>
      <top/>
      <bottom/>
      <diagonal/>
    </border>
    <border>
      <left style="double">
        <color rgb="FF000000"/>
      </left>
      <right style="thin">
        <color indexed="64"/>
      </right>
      <top/>
      <bottom style="thin">
        <color rgb="FF000000"/>
      </bottom>
      <diagonal/>
    </border>
    <border>
      <left style="double">
        <color rgb="FF000000"/>
      </left>
      <right style="thin">
        <color indexed="64"/>
      </right>
      <top/>
      <bottom style="double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thin">
        <color indexed="64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 style="double">
        <color rgb="FF000000"/>
      </right>
      <top style="thin">
        <color rgb="FF000000"/>
      </top>
      <bottom/>
      <diagonal/>
    </border>
    <border>
      <left style="thin">
        <color rgb="FF000000"/>
      </left>
      <right style="double">
        <color rgb="FF000000"/>
      </right>
      <top style="thin">
        <color indexed="64"/>
      </top>
      <bottom style="thin">
        <color indexed="64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thin">
        <color indexed="64"/>
      </top>
      <bottom style="thin">
        <color indexed="64"/>
      </bottom>
      <diagonal/>
    </border>
    <border>
      <left style="double">
        <color rgb="FF000000"/>
      </left>
      <right/>
      <top style="double">
        <color rgb="FF000000"/>
      </top>
      <bottom style="thin">
        <color indexed="64"/>
      </bottom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000000"/>
      </left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double">
        <color theme="1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double">
        <color rgb="FF000000"/>
      </top>
      <bottom style="double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double">
        <color rgb="FF000000"/>
      </top>
      <bottom/>
      <diagonal/>
    </border>
    <border>
      <left style="thin">
        <color rgb="FF000000"/>
      </left>
      <right style="double">
        <color rgb="FF000000"/>
      </right>
      <top style="medium">
        <color theme="1"/>
      </top>
      <bottom style="thin">
        <color rgb="FF000000"/>
      </bottom>
      <diagonal/>
    </border>
    <border>
      <left/>
      <right style="medium">
        <color rgb="FF000000"/>
      </right>
      <top style="medium">
        <color theme="1"/>
      </top>
      <bottom style="thin">
        <color rgb="FF000000"/>
      </bottom>
      <diagonal/>
    </border>
    <border>
      <left/>
      <right style="medium">
        <color rgb="FF000000"/>
      </right>
      <top style="double">
        <color rgb="FF000000"/>
      </top>
      <bottom style="double">
        <color theme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rgb="FF000000"/>
      </right>
      <top style="thin">
        <color indexed="64"/>
      </top>
      <bottom/>
      <diagonal/>
    </border>
    <border>
      <left/>
      <right style="double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rgb="FF000000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double">
        <color rgb="FF000000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/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double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</borders>
  <cellStyleXfs count="8">
    <xf numFmtId="0" fontId="0" fillId="0" borderId="0"/>
    <xf numFmtId="0" fontId="2" fillId="2" borderId="0"/>
    <xf numFmtId="43" fontId="2" fillId="2" borderId="0" applyFont="0" applyFill="0" applyBorder="0" applyAlignment="0" applyProtection="0"/>
    <xf numFmtId="164" fontId="40" fillId="0" borderId="0" applyFont="0" applyFill="0" applyBorder="0" applyAlignment="0" applyProtection="0"/>
    <xf numFmtId="0" fontId="1" fillId="2" borderId="0"/>
    <xf numFmtId="43" fontId="1" fillId="2" borderId="0" applyFont="0" applyFill="0" applyBorder="0" applyAlignment="0" applyProtection="0"/>
    <xf numFmtId="0" fontId="1" fillId="2" borderId="0"/>
    <xf numFmtId="0" fontId="50" fillId="2" borderId="0"/>
  </cellStyleXfs>
  <cellXfs count="1308"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4" fillId="2" borderId="0" xfId="0" applyFont="1" applyFill="1" applyAlignment="1" applyProtection="1">
      <alignment vertical="center"/>
      <protection locked="0"/>
    </xf>
    <xf numFmtId="0" fontId="5" fillId="2" borderId="0" xfId="0" applyFont="1" applyFill="1" applyAlignment="1" applyProtection="1">
      <alignment horizontal="left"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vertical="center"/>
      <protection locked="0"/>
    </xf>
    <xf numFmtId="0" fontId="5" fillId="2" borderId="0" xfId="0" applyFont="1" applyFill="1" applyAlignment="1" applyProtection="1">
      <alignment vertical="center" wrapText="1"/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0" fillId="2" borderId="0" xfId="0" applyFill="1" applyAlignment="1" applyProtection="1">
      <alignment wrapText="1"/>
      <protection locked="0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wrapText="1"/>
    </xf>
    <xf numFmtId="0" fontId="5" fillId="2" borderId="0" xfId="0" applyFont="1" applyFill="1" applyAlignment="1">
      <alignment vertical="center" wrapText="1"/>
    </xf>
    <xf numFmtId="0" fontId="0" fillId="2" borderId="0" xfId="0" applyFill="1" applyAlignment="1">
      <alignment horizontal="left" vertical="center"/>
    </xf>
    <xf numFmtId="0" fontId="0" fillId="2" borderId="0" xfId="0" applyFill="1" applyAlignment="1" applyProtection="1">
      <alignment horizontal="left" vertic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0" fillId="2" borderId="0" xfId="0" applyFill="1" applyAlignment="1" applyProtection="1">
      <alignment horizontal="center"/>
      <protection locked="0"/>
    </xf>
    <xf numFmtId="0" fontId="9" fillId="2" borderId="0" xfId="4" applyFont="1" applyAlignment="1">
      <alignment horizontal="left" vertical="center"/>
    </xf>
    <xf numFmtId="0" fontId="10" fillId="2" borderId="0" xfId="4" applyFont="1" applyAlignment="1">
      <alignment vertical="center"/>
    </xf>
    <xf numFmtId="4" fontId="10" fillId="2" borderId="0" xfId="4" applyNumberFormat="1" applyFont="1" applyAlignment="1">
      <alignment vertical="center"/>
    </xf>
    <xf numFmtId="0" fontId="1" fillId="2" borderId="0" xfId="4"/>
    <xf numFmtId="164" fontId="17" fillId="2" borderId="14" xfId="4" applyNumberFormat="1" applyFont="1" applyBorder="1" applyAlignment="1">
      <alignment horizontal="center" vertical="center" wrapText="1"/>
    </xf>
    <xf numFmtId="164" fontId="15" fillId="2" borderId="18" xfId="4" applyNumberFormat="1" applyFont="1" applyBorder="1" applyAlignment="1">
      <alignment horizontal="center" vertical="top" wrapText="1"/>
    </xf>
    <xf numFmtId="0" fontId="15" fillId="2" borderId="19" xfId="4" applyFont="1" applyBorder="1" applyAlignment="1">
      <alignment horizontal="center"/>
    </xf>
    <xf numFmtId="164" fontId="15" fillId="2" borderId="19" xfId="4" applyNumberFormat="1" applyFont="1" applyBorder="1" applyAlignment="1">
      <alignment horizontal="center"/>
    </xf>
    <xf numFmtId="0" fontId="15" fillId="2" borderId="20" xfId="4" applyFont="1" applyBorder="1" applyAlignment="1">
      <alignment horizontal="left" vertical="center"/>
    </xf>
    <xf numFmtId="0" fontId="10" fillId="2" borderId="22" xfId="4" applyFont="1" applyBorder="1" applyAlignment="1">
      <alignment vertical="center"/>
    </xf>
    <xf numFmtId="0" fontId="15" fillId="2" borderId="23" xfId="4" applyFont="1" applyBorder="1" applyAlignment="1">
      <alignment horizontal="left" vertical="center"/>
    </xf>
    <xf numFmtId="0" fontId="10" fillId="2" borderId="11" xfId="4" applyFont="1" applyBorder="1" applyAlignment="1">
      <alignment vertical="center"/>
    </xf>
    <xf numFmtId="0" fontId="10" fillId="2" borderId="24" xfId="4" applyFont="1" applyBorder="1" applyAlignment="1">
      <alignment vertical="center"/>
    </xf>
    <xf numFmtId="0" fontId="15" fillId="2" borderId="23" xfId="4" applyFont="1" applyBorder="1" applyAlignment="1">
      <alignment horizontal="left" vertical="center" indent="1"/>
    </xf>
    <xf numFmtId="39" fontId="10" fillId="2" borderId="11" xfId="4" applyNumberFormat="1" applyFont="1" applyBorder="1" applyAlignment="1">
      <alignment vertical="center"/>
    </xf>
    <xf numFmtId="39" fontId="10" fillId="2" borderId="24" xfId="4" applyNumberFormat="1" applyFont="1" applyBorder="1" applyAlignment="1">
      <alignment vertical="center"/>
    </xf>
    <xf numFmtId="0" fontId="10" fillId="2" borderId="23" xfId="4" applyFont="1" applyBorder="1" applyAlignment="1">
      <alignment horizontal="left" vertical="center" indent="2"/>
    </xf>
    <xf numFmtId="43" fontId="10" fillId="2" borderId="11" xfId="5" applyFont="1" applyBorder="1" applyAlignment="1">
      <alignment vertical="center"/>
    </xf>
    <xf numFmtId="43" fontId="10" fillId="2" borderId="25" xfId="5" applyFont="1" applyBorder="1" applyAlignment="1">
      <alignment vertical="center"/>
    </xf>
    <xf numFmtId="165" fontId="10" fillId="2" borderId="11" xfId="5" applyNumberFormat="1" applyFont="1" applyBorder="1" applyAlignment="1">
      <alignment vertical="center"/>
    </xf>
    <xf numFmtId="1" fontId="10" fillId="2" borderId="10" xfId="4" applyNumberFormat="1" applyFont="1" applyBorder="1" applyAlignment="1">
      <alignment horizontal="center" vertical="center"/>
    </xf>
    <xf numFmtId="43" fontId="18" fillId="2" borderId="13" xfId="5" applyFont="1" applyBorder="1" applyAlignment="1">
      <alignment vertical="center"/>
    </xf>
    <xf numFmtId="43" fontId="10" fillId="2" borderId="50" xfId="5" applyFont="1" applyBorder="1" applyAlignment="1">
      <alignment vertical="center"/>
    </xf>
    <xf numFmtId="0" fontId="10" fillId="2" borderId="113" xfId="4" applyFont="1" applyBorder="1" applyAlignment="1">
      <alignment horizontal="left" vertical="center" indent="2"/>
    </xf>
    <xf numFmtId="1" fontId="10" fillId="2" borderId="50" xfId="4" applyNumberFormat="1" applyFont="1" applyBorder="1" applyAlignment="1">
      <alignment horizontal="center" vertical="center"/>
    </xf>
    <xf numFmtId="43" fontId="10" fillId="2" borderId="122" xfId="5" applyFont="1" applyBorder="1" applyAlignment="1">
      <alignment vertical="center"/>
    </xf>
    <xf numFmtId="43" fontId="10" fillId="2" borderId="52" xfId="5" applyFont="1" applyBorder="1" applyAlignment="1">
      <alignment vertical="center"/>
    </xf>
    <xf numFmtId="43" fontId="10" fillId="2" borderId="124" xfId="5" applyFont="1" applyBorder="1" applyAlignment="1">
      <alignment vertical="center"/>
    </xf>
    <xf numFmtId="43" fontId="10" fillId="2" borderId="9" xfId="5" applyFont="1" applyBorder="1" applyAlignment="1">
      <alignment vertical="center"/>
    </xf>
    <xf numFmtId="43" fontId="10" fillId="2" borderId="66" xfId="5" applyFont="1" applyBorder="1" applyAlignment="1">
      <alignment vertical="center"/>
    </xf>
    <xf numFmtId="43" fontId="10" fillId="2" borderId="88" xfId="5" applyFont="1" applyBorder="1" applyAlignment="1">
      <alignment vertical="center"/>
    </xf>
    <xf numFmtId="0" fontId="15" fillId="2" borderId="28" xfId="4" applyFont="1" applyBorder="1" applyAlignment="1">
      <alignment horizontal="center" vertical="center"/>
    </xf>
    <xf numFmtId="1" fontId="15" fillId="2" borderId="28" xfId="4" applyNumberFormat="1" applyFont="1" applyBorder="1" applyAlignment="1">
      <alignment horizontal="center" vertical="center"/>
    </xf>
    <xf numFmtId="43" fontId="15" fillId="2" borderId="28" xfId="5" applyFont="1" applyBorder="1" applyAlignment="1">
      <alignment vertical="center"/>
    </xf>
    <xf numFmtId="0" fontId="15" fillId="2" borderId="29" xfId="4" applyFont="1" applyBorder="1" applyAlignment="1">
      <alignment horizontal="left" vertical="center"/>
    </xf>
    <xf numFmtId="1" fontId="10" fillId="2" borderId="4" xfId="4" applyNumberFormat="1" applyFont="1" applyBorder="1" applyAlignment="1">
      <alignment horizontal="center" vertical="center"/>
    </xf>
    <xf numFmtId="165" fontId="10" fillId="2" borderId="10" xfId="5" applyNumberFormat="1" applyFont="1" applyBorder="1" applyAlignment="1">
      <alignment vertical="center"/>
    </xf>
    <xf numFmtId="43" fontId="10" fillId="2" borderId="10" xfId="5" applyFont="1" applyBorder="1" applyAlignment="1">
      <alignment vertical="center"/>
    </xf>
    <xf numFmtId="165" fontId="10" fillId="2" borderId="25" xfId="5" applyNumberFormat="1" applyFont="1" applyBorder="1" applyAlignment="1">
      <alignment vertical="center"/>
    </xf>
    <xf numFmtId="39" fontId="15" fillId="2" borderId="28" xfId="4" applyNumberFormat="1" applyFont="1" applyBorder="1" applyAlignment="1">
      <alignment vertical="center"/>
    </xf>
    <xf numFmtId="165" fontId="15" fillId="2" borderId="28" xfId="5" applyNumberFormat="1" applyFont="1" applyBorder="1" applyAlignment="1">
      <alignment vertical="center"/>
    </xf>
    <xf numFmtId="0" fontId="10" fillId="2" borderId="0" xfId="4" applyFont="1"/>
    <xf numFmtId="0" fontId="15" fillId="2" borderId="0" xfId="4" applyFont="1" applyAlignment="1">
      <alignment horizontal="center"/>
    </xf>
    <xf numFmtId="0" fontId="14" fillId="2" borderId="0" xfId="4" applyFont="1" applyAlignment="1">
      <alignment horizontal="center" vertical="center" wrapText="1"/>
    </xf>
    <xf numFmtId="0" fontId="10" fillId="2" borderId="0" xfId="4" applyFont="1" applyAlignment="1">
      <alignment horizontal="center"/>
    </xf>
    <xf numFmtId="0" fontId="10" fillId="2" borderId="0" xfId="4" applyFont="1" applyAlignment="1">
      <alignment horizontal="center" vertical="center" wrapText="1"/>
    </xf>
    <xf numFmtId="0" fontId="8" fillId="2" borderId="0" xfId="4" applyFont="1"/>
    <xf numFmtId="173" fontId="10" fillId="2" borderId="11" xfId="5" applyNumberFormat="1" applyFont="1" applyBorder="1" applyAlignment="1">
      <alignment vertical="center"/>
    </xf>
    <xf numFmtId="43" fontId="10" fillId="2" borderId="13" xfId="5" applyFont="1" applyBorder="1" applyAlignment="1">
      <alignment vertical="center"/>
    </xf>
    <xf numFmtId="43" fontId="10" fillId="3" borderId="49" xfId="5" applyFont="1" applyFill="1" applyBorder="1"/>
    <xf numFmtId="43" fontId="10" fillId="3" borderId="114" xfId="5" applyFont="1" applyFill="1" applyBorder="1"/>
    <xf numFmtId="43" fontId="10" fillId="3" borderId="52" xfId="5" applyFont="1" applyFill="1" applyBorder="1"/>
    <xf numFmtId="43" fontId="10" fillId="3" borderId="30" xfId="5" applyFont="1" applyFill="1" applyBorder="1"/>
    <xf numFmtId="43" fontId="10" fillId="2" borderId="8" xfId="5" applyFont="1" applyBorder="1" applyAlignment="1">
      <alignment vertical="center"/>
    </xf>
    <xf numFmtId="43" fontId="10" fillId="2" borderId="27" xfId="5" applyFont="1" applyBorder="1" applyAlignment="1">
      <alignment vertical="center"/>
    </xf>
    <xf numFmtId="43" fontId="10" fillId="2" borderId="48" xfId="5" applyFont="1" applyBorder="1" applyAlignment="1">
      <alignment vertical="center"/>
    </xf>
    <xf numFmtId="43" fontId="15" fillId="3" borderId="28" xfId="5" applyFont="1" applyFill="1" applyBorder="1" applyAlignment="1">
      <alignment vertical="center"/>
    </xf>
    <xf numFmtId="43" fontId="15" fillId="3" borderId="106" xfId="5" applyFont="1" applyFill="1" applyBorder="1" applyAlignment="1">
      <alignment vertical="center"/>
    </xf>
    <xf numFmtId="43" fontId="15" fillId="3" borderId="60" xfId="5" applyFont="1" applyFill="1" applyBorder="1" applyAlignment="1">
      <alignment vertical="center"/>
    </xf>
    <xf numFmtId="43" fontId="10" fillId="2" borderId="96" xfId="5" applyFont="1" applyBorder="1" applyAlignment="1">
      <alignment vertical="center"/>
    </xf>
    <xf numFmtId="43" fontId="10" fillId="2" borderId="104" xfId="5" applyFont="1" applyBorder="1" applyAlignment="1">
      <alignment vertical="center"/>
    </xf>
    <xf numFmtId="43" fontId="10" fillId="2" borderId="30" xfId="5" applyFont="1" applyBorder="1" applyAlignment="1">
      <alignment vertical="center"/>
    </xf>
    <xf numFmtId="0" fontId="10" fillId="2" borderId="23" xfId="4" applyFont="1" applyBorder="1" applyAlignment="1">
      <alignment horizontal="left" vertical="center" indent="3"/>
    </xf>
    <xf numFmtId="0" fontId="10" fillId="2" borderId="23" xfId="4" applyFont="1" applyBorder="1" applyAlignment="1">
      <alignment horizontal="left" vertical="center" wrapText="1" indent="3"/>
    </xf>
    <xf numFmtId="165" fontId="10" fillId="2" borderId="24" xfId="5" applyNumberFormat="1" applyFont="1" applyBorder="1" applyAlignment="1">
      <alignment vertical="center"/>
    </xf>
    <xf numFmtId="43" fontId="10" fillId="2" borderId="24" xfId="5" applyFont="1" applyBorder="1" applyAlignment="1">
      <alignment vertical="center"/>
    </xf>
    <xf numFmtId="43" fontId="10" fillId="2" borderId="12" xfId="5" applyFont="1" applyBorder="1" applyAlignment="1">
      <alignment vertical="center"/>
    </xf>
    <xf numFmtId="43" fontId="15" fillId="2" borderId="28" xfId="5" applyFont="1" applyBorder="1" applyAlignment="1">
      <alignment horizontal="right" vertical="center"/>
    </xf>
    <xf numFmtId="43" fontId="15" fillId="2" borderId="60" xfId="5" applyFont="1" applyBorder="1" applyAlignment="1">
      <alignment horizontal="right" vertical="center"/>
    </xf>
    <xf numFmtId="43" fontId="10" fillId="2" borderId="11" xfId="5" applyFont="1" applyBorder="1" applyAlignment="1">
      <alignment horizontal="center" vertical="center"/>
    </xf>
    <xf numFmtId="43" fontId="10" fillId="2" borderId="25" xfId="5" applyFont="1" applyBorder="1" applyAlignment="1">
      <alignment horizontal="center" vertical="center"/>
    </xf>
    <xf numFmtId="0" fontId="10" fillId="2" borderId="26" xfId="4" applyFont="1" applyBorder="1" applyAlignment="1">
      <alignment horizontal="left" vertical="center" indent="2"/>
    </xf>
    <xf numFmtId="165" fontId="10" fillId="2" borderId="4" xfId="5" applyNumberFormat="1" applyFont="1" applyBorder="1" applyAlignment="1">
      <alignment vertical="center"/>
    </xf>
    <xf numFmtId="43" fontId="10" fillId="3" borderId="25" xfId="5" applyFont="1" applyFill="1" applyBorder="1" applyAlignment="1">
      <alignment vertical="center"/>
    </xf>
    <xf numFmtId="43" fontId="10" fillId="2" borderId="3" xfId="5" applyFont="1" applyBorder="1" applyAlignment="1">
      <alignment vertical="center"/>
    </xf>
    <xf numFmtId="0" fontId="10" fillId="2" borderId="26" xfId="4" applyFont="1" applyBorder="1" applyAlignment="1">
      <alignment horizontal="left" vertical="center" wrapText="1" indent="2"/>
    </xf>
    <xf numFmtId="0" fontId="10" fillId="2" borderId="23" xfId="4" applyFont="1" applyBorder="1" applyAlignment="1">
      <alignment horizontal="left" vertical="center" wrapText="1" indent="2"/>
    </xf>
    <xf numFmtId="43" fontId="10" fillId="2" borderId="1" xfId="5" applyFont="1" applyBorder="1" applyAlignment="1">
      <alignment vertical="center"/>
    </xf>
    <xf numFmtId="165" fontId="10" fillId="2" borderId="8" xfId="5" applyNumberFormat="1" applyFont="1" applyBorder="1" applyAlignment="1">
      <alignment vertical="center"/>
    </xf>
    <xf numFmtId="165" fontId="10" fillId="2" borderId="1" xfId="5" applyNumberFormat="1" applyFont="1" applyBorder="1" applyAlignment="1">
      <alignment vertical="center"/>
    </xf>
    <xf numFmtId="165" fontId="10" fillId="2" borderId="47" xfId="5" applyNumberFormat="1" applyFont="1" applyBorder="1" applyAlignment="1">
      <alignment vertical="center"/>
    </xf>
    <xf numFmtId="43" fontId="15" fillId="2" borderId="60" xfId="5" applyFont="1" applyBorder="1" applyAlignment="1">
      <alignment vertical="center"/>
    </xf>
    <xf numFmtId="43" fontId="15" fillId="3" borderId="33" xfId="5" applyFont="1" applyFill="1" applyBorder="1" applyAlignment="1">
      <alignment horizontal="center"/>
    </xf>
    <xf numFmtId="43" fontId="15" fillId="3" borderId="22" xfId="5" applyFont="1" applyFill="1" applyBorder="1" applyAlignment="1">
      <alignment horizontal="center"/>
    </xf>
    <xf numFmtId="43" fontId="15" fillId="3" borderId="49" xfId="5" applyFont="1" applyFill="1" applyBorder="1" applyAlignment="1">
      <alignment horizontal="center"/>
    </xf>
    <xf numFmtId="43" fontId="15" fillId="3" borderId="11" xfId="5" applyFont="1" applyFill="1" applyBorder="1" applyAlignment="1">
      <alignment vertical="center"/>
    </xf>
    <xf numFmtId="43" fontId="15" fillId="3" borderId="24" xfId="5" applyFont="1" applyFill="1" applyBorder="1" applyAlignment="1">
      <alignment vertical="center"/>
    </xf>
    <xf numFmtId="43" fontId="15" fillId="3" borderId="8" xfId="5" applyFont="1" applyFill="1" applyBorder="1" applyAlignment="1">
      <alignment vertical="center"/>
    </xf>
    <xf numFmtId="43" fontId="15" fillId="3" borderId="40" xfId="5" applyFont="1" applyFill="1" applyBorder="1" applyAlignment="1">
      <alignment vertical="center"/>
    </xf>
    <xf numFmtId="43" fontId="10" fillId="3" borderId="47" xfId="5" applyFont="1" applyFill="1" applyBorder="1" applyAlignment="1">
      <alignment vertical="center"/>
    </xf>
    <xf numFmtId="43" fontId="10" fillId="3" borderId="8" xfId="5" applyFont="1" applyFill="1" applyBorder="1" applyAlignment="1">
      <alignment vertical="center"/>
    </xf>
    <xf numFmtId="165" fontId="10" fillId="3" borderId="8" xfId="5" applyNumberFormat="1" applyFont="1" applyFill="1" applyBorder="1" applyAlignment="1">
      <alignment vertical="center"/>
    </xf>
    <xf numFmtId="43" fontId="10" fillId="3" borderId="94" xfId="5" applyFont="1" applyFill="1" applyBorder="1" applyAlignment="1">
      <alignment vertical="center"/>
    </xf>
    <xf numFmtId="165" fontId="15" fillId="3" borderId="28" xfId="5" applyNumberFormat="1" applyFont="1" applyFill="1" applyBorder="1" applyAlignment="1">
      <alignment vertical="center"/>
    </xf>
    <xf numFmtId="0" fontId="10" fillId="2" borderId="21" xfId="4" applyFont="1" applyBorder="1" applyAlignment="1">
      <alignment vertical="center"/>
    </xf>
    <xf numFmtId="0" fontId="10" fillId="2" borderId="10" xfId="4" applyFont="1" applyBorder="1" applyAlignment="1">
      <alignment horizontal="center" vertical="center"/>
    </xf>
    <xf numFmtId="0" fontId="10" fillId="2" borderId="10" xfId="4" applyFont="1" applyBorder="1" applyAlignment="1">
      <alignment vertical="center"/>
    </xf>
    <xf numFmtId="39" fontId="10" fillId="2" borderId="10" xfId="4" applyNumberFormat="1" applyFont="1" applyBorder="1" applyAlignment="1">
      <alignment vertical="center"/>
    </xf>
    <xf numFmtId="167" fontId="10" fillId="2" borderId="12" xfId="5" applyNumberFormat="1" applyFont="1" applyBorder="1" applyAlignment="1">
      <alignment vertical="center"/>
    </xf>
    <xf numFmtId="167" fontId="10" fillId="2" borderId="11" xfId="5" applyNumberFormat="1" applyFont="1" applyBorder="1" applyAlignment="1">
      <alignment vertical="center"/>
    </xf>
    <xf numFmtId="43" fontId="10" fillId="2" borderId="114" xfId="5" applyFont="1" applyBorder="1" applyAlignment="1">
      <alignment vertical="center"/>
    </xf>
    <xf numFmtId="43" fontId="10" fillId="2" borderId="62" xfId="5" applyFont="1" applyBorder="1" applyAlignment="1">
      <alignment vertical="center"/>
    </xf>
    <xf numFmtId="43" fontId="10" fillId="2" borderId="129" xfId="5" applyFont="1" applyBorder="1" applyAlignment="1">
      <alignment vertical="center"/>
    </xf>
    <xf numFmtId="43" fontId="0" fillId="2" borderId="0" xfId="5" applyFont="1"/>
    <xf numFmtId="43" fontId="10" fillId="2" borderId="47" xfId="5" applyFont="1" applyBorder="1" applyAlignment="1">
      <alignment vertical="center"/>
    </xf>
    <xf numFmtId="165" fontId="10" fillId="2" borderId="27" xfId="5" applyNumberFormat="1" applyFont="1" applyBorder="1" applyAlignment="1">
      <alignment vertical="center"/>
    </xf>
    <xf numFmtId="165" fontId="10" fillId="2" borderId="94" xfId="5" applyNumberFormat="1" applyFont="1" applyBorder="1" applyAlignment="1">
      <alignment vertical="center"/>
    </xf>
    <xf numFmtId="43" fontId="10" fillId="3" borderId="12" xfId="5" applyFont="1" applyFill="1" applyBorder="1" applyAlignment="1">
      <alignment vertical="center"/>
    </xf>
    <xf numFmtId="165" fontId="10" fillId="3" borderId="12" xfId="5" applyNumberFormat="1" applyFont="1" applyFill="1" applyBorder="1" applyAlignment="1">
      <alignment vertical="center"/>
    </xf>
    <xf numFmtId="43" fontId="10" fillId="3" borderId="2" xfId="5" applyFont="1" applyFill="1" applyBorder="1" applyAlignment="1">
      <alignment vertical="center"/>
    </xf>
    <xf numFmtId="43" fontId="10" fillId="2" borderId="123" xfId="5" applyFont="1" applyBorder="1" applyAlignment="1">
      <alignment vertical="center"/>
    </xf>
    <xf numFmtId="43" fontId="10" fillId="3" borderId="131" xfId="5" applyFont="1" applyFill="1" applyBorder="1" applyAlignment="1">
      <alignment vertical="center"/>
    </xf>
    <xf numFmtId="43" fontId="10" fillId="3" borderId="129" xfId="5" applyFont="1" applyFill="1" applyBorder="1" applyAlignment="1">
      <alignment vertical="center"/>
    </xf>
    <xf numFmtId="43" fontId="10" fillId="3" borderId="96" xfId="5" applyFont="1" applyFill="1" applyBorder="1" applyAlignment="1">
      <alignment vertical="center"/>
    </xf>
    <xf numFmtId="43" fontId="10" fillId="3" borderId="124" xfId="5" applyFont="1" applyFill="1" applyBorder="1" applyAlignment="1">
      <alignment vertical="center"/>
    </xf>
    <xf numFmtId="43" fontId="10" fillId="3" borderId="88" xfId="5" applyFont="1" applyFill="1" applyBorder="1" applyAlignment="1">
      <alignment vertical="center"/>
    </xf>
    <xf numFmtId="43" fontId="21" fillId="2" borderId="30" xfId="5" applyFont="1" applyBorder="1" applyAlignment="1">
      <alignment horizontal="right" vertical="center"/>
    </xf>
    <xf numFmtId="43" fontId="10" fillId="3" borderId="30" xfId="5" applyFont="1" applyFill="1" applyBorder="1" applyAlignment="1">
      <alignment vertical="center"/>
    </xf>
    <xf numFmtId="165" fontId="10" fillId="3" borderId="10" xfId="5" applyNumberFormat="1" applyFont="1" applyFill="1" applyBorder="1" applyAlignment="1">
      <alignment vertical="center"/>
    </xf>
    <xf numFmtId="43" fontId="21" fillId="3" borderId="25" xfId="5" applyFont="1" applyFill="1" applyBorder="1" applyAlignment="1">
      <alignment horizontal="right"/>
    </xf>
    <xf numFmtId="43" fontId="21" fillId="3" borderId="30" xfId="5" applyFont="1" applyFill="1" applyBorder="1" applyAlignment="1">
      <alignment horizontal="right" vertical="center"/>
    </xf>
    <xf numFmtId="43" fontId="10" fillId="3" borderId="10" xfId="5" applyFont="1" applyFill="1" applyBorder="1" applyAlignment="1">
      <alignment vertical="center"/>
    </xf>
    <xf numFmtId="165" fontId="10" fillId="2" borderId="87" xfId="5" applyNumberFormat="1" applyFont="1" applyBorder="1" applyAlignment="1">
      <alignment vertical="center"/>
    </xf>
    <xf numFmtId="165" fontId="10" fillId="2" borderId="115" xfId="5" applyNumberFormat="1" applyFont="1" applyBorder="1" applyAlignment="1">
      <alignment vertical="center"/>
    </xf>
    <xf numFmtId="165" fontId="10" fillId="3" borderId="11" xfId="5" applyNumberFormat="1" applyFont="1" applyFill="1" applyBorder="1" applyAlignment="1">
      <alignment vertical="center"/>
    </xf>
    <xf numFmtId="165" fontId="10" fillId="3" borderId="43" xfId="5" applyNumberFormat="1" applyFont="1" applyFill="1" applyBorder="1" applyAlignment="1">
      <alignment vertical="center"/>
    </xf>
    <xf numFmtId="165" fontId="10" fillId="3" borderId="25" xfId="5" applyNumberFormat="1" applyFont="1" applyFill="1" applyBorder="1" applyAlignment="1">
      <alignment vertical="center"/>
    </xf>
    <xf numFmtId="43" fontId="10" fillId="2" borderId="0" xfId="5" applyFont="1"/>
    <xf numFmtId="43" fontId="18" fillId="2" borderId="25" xfId="5" applyFont="1" applyBorder="1" applyAlignment="1">
      <alignment vertical="center"/>
    </xf>
    <xf numFmtId="43" fontId="17" fillId="3" borderId="28" xfId="5" applyFont="1" applyFill="1" applyBorder="1" applyAlignment="1">
      <alignment vertical="center"/>
    </xf>
    <xf numFmtId="39" fontId="15" fillId="2" borderId="0" xfId="4" applyNumberFormat="1" applyFont="1" applyAlignment="1">
      <alignment vertical="center"/>
    </xf>
    <xf numFmtId="4" fontId="10" fillId="2" borderId="11" xfId="4" applyNumberFormat="1" applyFont="1" applyBorder="1" applyAlignment="1">
      <alignment vertical="center"/>
    </xf>
    <xf numFmtId="43" fontId="35" fillId="2" borderId="49" xfId="5" applyFont="1" applyBorder="1" applyAlignment="1">
      <alignment horizontal="right"/>
    </xf>
    <xf numFmtId="165" fontId="21" fillId="2" borderId="50" xfId="5" applyNumberFormat="1" applyFont="1" applyBorder="1"/>
    <xf numFmtId="165" fontId="21" fillId="2" borderId="114" xfId="5" applyNumberFormat="1" applyFont="1" applyBorder="1"/>
    <xf numFmtId="165" fontId="21" fillId="2" borderId="27" xfId="5" applyNumberFormat="1" applyFont="1" applyBorder="1"/>
    <xf numFmtId="165" fontId="21" fillId="2" borderId="132" xfId="5" applyNumberFormat="1" applyFont="1" applyBorder="1"/>
    <xf numFmtId="165" fontId="21" fillId="2" borderId="9" xfId="5" applyNumberFormat="1" applyFont="1" applyBorder="1"/>
    <xf numFmtId="165" fontId="21" fillId="2" borderId="13" xfId="5" applyNumberFormat="1" applyFont="1" applyBorder="1"/>
    <xf numFmtId="165" fontId="21" fillId="2" borderId="134" xfId="5" applyNumberFormat="1" applyFont="1" applyBorder="1"/>
    <xf numFmtId="165" fontId="21" fillId="2" borderId="6" xfId="5" applyNumberFormat="1" applyFont="1" applyBorder="1"/>
    <xf numFmtId="165" fontId="21" fillId="2" borderId="6" xfId="5" applyNumberFormat="1" applyFont="1" applyBorder="1" applyAlignment="1">
      <alignment vertical="center"/>
    </xf>
    <xf numFmtId="43" fontId="21" fillId="2" borderId="6" xfId="5" applyFont="1" applyBorder="1" applyAlignment="1">
      <alignment horizontal="right"/>
    </xf>
    <xf numFmtId="43" fontId="10" fillId="2" borderId="135" xfId="5" applyFont="1" applyBorder="1" applyAlignment="1">
      <alignment vertical="center"/>
    </xf>
    <xf numFmtId="43" fontId="21" fillId="2" borderId="9" xfId="5" applyFont="1" applyBorder="1" applyAlignment="1">
      <alignment horizontal="right"/>
    </xf>
    <xf numFmtId="43" fontId="21" fillId="2" borderId="11" xfId="5" applyFont="1" applyBorder="1" applyAlignment="1">
      <alignment horizontal="right"/>
    </xf>
    <xf numFmtId="165" fontId="21" fillId="2" borderId="11" xfId="5" applyNumberFormat="1" applyFont="1" applyBorder="1"/>
    <xf numFmtId="43" fontId="21" fillId="2" borderId="27" xfId="5" applyFont="1" applyBorder="1" applyAlignment="1">
      <alignment horizontal="right"/>
    </xf>
    <xf numFmtId="165" fontId="21" fillId="2" borderId="59" xfId="5" applyNumberFormat="1" applyFont="1" applyBorder="1"/>
    <xf numFmtId="43" fontId="15" fillId="3" borderId="89" xfId="5" applyFont="1" applyFill="1" applyBorder="1" applyAlignment="1">
      <alignment vertical="center"/>
    </xf>
    <xf numFmtId="43" fontId="21" fillId="2" borderId="10" xfId="5" applyFont="1" applyBorder="1" applyAlignment="1">
      <alignment vertical="center"/>
    </xf>
    <xf numFmtId="43" fontId="21" fillId="2" borderId="135" xfId="5" applyFont="1" applyBorder="1" applyAlignment="1">
      <alignment vertical="center"/>
    </xf>
    <xf numFmtId="43" fontId="21" fillId="2" borderId="4" xfId="5" applyFont="1" applyBorder="1" applyAlignment="1">
      <alignment vertical="center"/>
    </xf>
    <xf numFmtId="43" fontId="21" fillId="2" borderId="134" xfId="5" applyFont="1" applyBorder="1" applyAlignment="1">
      <alignment vertical="center"/>
    </xf>
    <xf numFmtId="165" fontId="15" fillId="3" borderId="89" xfId="5" applyNumberFormat="1" applyFont="1" applyFill="1" applyBorder="1" applyAlignment="1">
      <alignment vertical="center"/>
    </xf>
    <xf numFmtId="39" fontId="10" fillId="2" borderId="0" xfId="4" applyNumberFormat="1" applyFont="1" applyAlignment="1">
      <alignment vertical="center"/>
    </xf>
    <xf numFmtId="165" fontId="10" fillId="3" borderId="0" xfId="5" applyNumberFormat="1" applyFont="1" applyFill="1" applyBorder="1" applyAlignment="1">
      <alignment vertical="center"/>
    </xf>
    <xf numFmtId="165" fontId="10" fillId="2" borderId="0" xfId="5" applyNumberFormat="1" applyFont="1" applyBorder="1" applyAlignment="1">
      <alignment vertical="center"/>
    </xf>
    <xf numFmtId="43" fontId="21" fillId="2" borderId="0" xfId="5" applyFont="1" applyBorder="1"/>
    <xf numFmtId="4" fontId="10" fillId="2" borderId="0" xfId="4" applyNumberFormat="1" applyFont="1"/>
    <xf numFmtId="43" fontId="10" fillId="2" borderId="11" xfId="5" applyFont="1" applyFill="1" applyBorder="1" applyAlignment="1">
      <alignment vertical="center"/>
    </xf>
    <xf numFmtId="173" fontId="10" fillId="2" borderId="11" xfId="5" applyNumberFormat="1" applyFont="1" applyFill="1" applyBorder="1" applyAlignment="1">
      <alignment vertical="center"/>
    </xf>
    <xf numFmtId="173" fontId="10" fillId="2" borderId="12" xfId="5" applyNumberFormat="1" applyFont="1" applyFill="1" applyBorder="1" applyAlignment="1">
      <alignment vertical="center"/>
    </xf>
    <xf numFmtId="43" fontId="10" fillId="2" borderId="25" xfId="5" applyFont="1" applyFill="1" applyBorder="1" applyAlignment="1">
      <alignment vertical="center"/>
    </xf>
    <xf numFmtId="173" fontId="15" fillId="2" borderId="28" xfId="5" applyNumberFormat="1" applyFont="1" applyFill="1" applyBorder="1" applyAlignment="1">
      <alignment vertical="center"/>
    </xf>
    <xf numFmtId="43" fontId="15" fillId="2" borderId="28" xfId="5" applyFont="1" applyFill="1" applyBorder="1" applyAlignment="1">
      <alignment vertical="center"/>
    </xf>
    <xf numFmtId="43" fontId="15" fillId="2" borderId="60" xfId="5" applyFont="1" applyFill="1" applyBorder="1" applyAlignment="1">
      <alignment vertical="center"/>
    </xf>
    <xf numFmtId="173" fontId="15" fillId="2" borderId="35" xfId="5" applyNumberFormat="1" applyFont="1" applyFill="1" applyBorder="1" applyAlignment="1">
      <alignment vertical="center"/>
    </xf>
    <xf numFmtId="43" fontId="15" fillId="2" borderId="35" xfId="5" applyFont="1" applyFill="1" applyBorder="1" applyAlignment="1">
      <alignment vertical="center"/>
    </xf>
    <xf numFmtId="43" fontId="15" fillId="2" borderId="36" xfId="5" applyFont="1" applyFill="1" applyBorder="1" applyAlignment="1">
      <alignment vertical="center"/>
    </xf>
    <xf numFmtId="43" fontId="15" fillId="2" borderId="49" xfId="5" applyFont="1" applyFill="1" applyBorder="1" applyAlignment="1">
      <alignment vertical="center"/>
    </xf>
    <xf numFmtId="173" fontId="10" fillId="2" borderId="24" xfId="5" applyNumberFormat="1" applyFont="1" applyFill="1" applyBorder="1" applyAlignment="1">
      <alignment vertical="center"/>
    </xf>
    <xf numFmtId="43" fontId="10" fillId="2" borderId="24" xfId="5" applyFont="1" applyFill="1" applyBorder="1" applyAlignment="1">
      <alignment vertical="center"/>
    </xf>
    <xf numFmtId="173" fontId="10" fillId="2" borderId="4" xfId="5" applyNumberFormat="1" applyFont="1" applyFill="1" applyBorder="1" applyAlignment="1">
      <alignment vertical="center"/>
    </xf>
    <xf numFmtId="173" fontId="10" fillId="2" borderId="62" xfId="5" applyNumberFormat="1" applyFont="1" applyFill="1" applyBorder="1" applyAlignment="1">
      <alignment vertical="center"/>
    </xf>
    <xf numFmtId="43" fontId="10" fillId="2" borderId="30" xfId="5" applyFont="1" applyFill="1" applyBorder="1" applyAlignment="1">
      <alignment vertical="center"/>
    </xf>
    <xf numFmtId="43" fontId="34" fillId="2" borderId="25" xfId="5" applyFont="1" applyFill="1" applyBorder="1" applyAlignment="1">
      <alignment vertical="center"/>
    </xf>
    <xf numFmtId="4" fontId="10" fillId="2" borderId="21" xfId="4" applyNumberFormat="1" applyFont="1" applyBorder="1" applyAlignment="1">
      <alignment vertical="center"/>
    </xf>
    <xf numFmtId="43" fontId="34" fillId="2" borderId="25" xfId="5" applyFont="1" applyBorder="1" applyAlignment="1">
      <alignment vertical="center"/>
    </xf>
    <xf numFmtId="43" fontId="10" fillId="3" borderId="50" xfId="5" applyFont="1" applyFill="1" applyBorder="1" applyAlignment="1">
      <alignment vertical="center"/>
    </xf>
    <xf numFmtId="43" fontId="10" fillId="2" borderId="140" xfId="5" applyFont="1" applyBorder="1" applyAlignment="1">
      <alignment vertical="center"/>
    </xf>
    <xf numFmtId="43" fontId="10" fillId="2" borderId="141" xfId="5" applyFont="1" applyBorder="1" applyAlignment="1">
      <alignment vertical="center"/>
    </xf>
    <xf numFmtId="43" fontId="10" fillId="2" borderId="18" xfId="5" applyFont="1" applyBorder="1" applyAlignment="1">
      <alignment vertical="center"/>
    </xf>
    <xf numFmtId="43" fontId="37" fillId="3" borderId="28" xfId="5" applyFont="1" applyFill="1" applyBorder="1" applyAlignment="1">
      <alignment vertical="center"/>
    </xf>
    <xf numFmtId="165" fontId="10" fillId="2" borderId="13" xfId="5" applyNumberFormat="1" applyFont="1" applyFill="1" applyBorder="1" applyAlignment="1">
      <alignment vertical="center"/>
    </xf>
    <xf numFmtId="165" fontId="10" fillId="2" borderId="135" xfId="5" applyNumberFormat="1" applyFont="1" applyFill="1" applyBorder="1" applyAlignment="1">
      <alignment vertical="center"/>
    </xf>
    <xf numFmtId="43" fontId="10" fillId="2" borderId="13" xfId="5" applyFont="1" applyFill="1" applyBorder="1" applyAlignment="1">
      <alignment vertical="center"/>
    </xf>
    <xf numFmtId="43" fontId="10" fillId="2" borderId="135" xfId="5" applyFont="1" applyFill="1" applyBorder="1" applyAlignment="1">
      <alignment vertical="center"/>
    </xf>
    <xf numFmtId="165" fontId="10" fillId="2" borderId="135" xfId="5" applyNumberFormat="1" applyFont="1" applyBorder="1" applyAlignment="1">
      <alignment vertical="center"/>
    </xf>
    <xf numFmtId="0" fontId="10" fillId="2" borderId="31" xfId="4" applyFont="1" applyBorder="1" applyAlignment="1">
      <alignment horizontal="left" vertical="center" wrapText="1" indent="3"/>
    </xf>
    <xf numFmtId="37" fontId="10" fillId="2" borderId="4" xfId="4" applyNumberFormat="1" applyFont="1" applyBorder="1" applyAlignment="1">
      <alignment horizontal="center" vertical="center"/>
    </xf>
    <xf numFmtId="165" fontId="10" fillId="2" borderId="25" xfId="5" applyNumberFormat="1" applyFont="1" applyFill="1" applyBorder="1" applyAlignment="1">
      <alignment vertical="center"/>
    </xf>
    <xf numFmtId="43" fontId="10" fillId="2" borderId="49" xfId="5" applyFont="1" applyBorder="1"/>
    <xf numFmtId="43" fontId="10" fillId="2" borderId="114" xfId="5" applyFont="1" applyBorder="1"/>
    <xf numFmtId="43" fontId="10" fillId="2" borderId="52" xfId="5" applyFont="1" applyBorder="1"/>
    <xf numFmtId="43" fontId="15" fillId="3" borderId="19" xfId="5" applyFont="1" applyFill="1" applyBorder="1" applyAlignment="1">
      <alignment vertical="center"/>
    </xf>
    <xf numFmtId="43" fontId="10" fillId="2" borderId="25" xfId="5" applyFont="1" applyBorder="1" applyAlignment="1">
      <alignment horizontal="right" vertical="center"/>
    </xf>
    <xf numFmtId="43" fontId="10" fillId="2" borderId="21" xfId="5" applyFont="1" applyBorder="1" applyAlignment="1">
      <alignment vertical="center"/>
    </xf>
    <xf numFmtId="43" fontId="10" fillId="2" borderId="22" xfId="5" applyFont="1" applyBorder="1" applyAlignment="1">
      <alignment vertical="center"/>
    </xf>
    <xf numFmtId="43" fontId="10" fillId="2" borderId="34" xfId="5" applyFont="1" applyBorder="1" applyAlignment="1">
      <alignment vertical="center"/>
    </xf>
    <xf numFmtId="165" fontId="10" fillId="2" borderId="12" xfId="5" applyNumberFormat="1" applyFont="1" applyBorder="1" applyAlignment="1">
      <alignment vertical="center"/>
    </xf>
    <xf numFmtId="43" fontId="10" fillId="2" borderId="2" xfId="5" applyFont="1" applyBorder="1" applyAlignment="1">
      <alignment vertical="center"/>
    </xf>
    <xf numFmtId="165" fontId="21" fillId="3" borderId="12" xfId="5" applyNumberFormat="1" applyFont="1" applyFill="1" applyBorder="1" applyAlignment="1">
      <alignment horizontal="right" vertical="center"/>
    </xf>
    <xf numFmtId="43" fontId="21" fillId="3" borderId="25" xfId="5" applyFont="1" applyFill="1" applyBorder="1" applyAlignment="1">
      <alignment horizontal="right" vertical="center"/>
    </xf>
    <xf numFmtId="165" fontId="21" fillId="3" borderId="6" xfId="5" applyNumberFormat="1" applyFont="1" applyFill="1" applyBorder="1" applyAlignment="1">
      <alignment horizontal="right" vertical="center"/>
    </xf>
    <xf numFmtId="165" fontId="21" fillId="3" borderId="11" xfId="5" applyNumberFormat="1" applyFont="1" applyFill="1" applyBorder="1" applyAlignment="1">
      <alignment horizontal="right" vertical="center"/>
    </xf>
    <xf numFmtId="165" fontId="10" fillId="2" borderId="6" xfId="5" applyNumberFormat="1" applyFont="1" applyBorder="1" applyAlignment="1">
      <alignment vertical="center"/>
    </xf>
    <xf numFmtId="165" fontId="21" fillId="3" borderId="30" xfId="5" applyNumberFormat="1" applyFont="1" applyFill="1" applyBorder="1" applyAlignment="1">
      <alignment horizontal="right" vertical="center"/>
    </xf>
    <xf numFmtId="165" fontId="21" fillId="3" borderId="9" xfId="5" applyNumberFormat="1" applyFont="1" applyFill="1" applyBorder="1" applyAlignment="1">
      <alignment horizontal="right"/>
    </xf>
    <xf numFmtId="165" fontId="21" fillId="3" borderId="9" xfId="5" applyNumberFormat="1" applyFont="1" applyFill="1" applyBorder="1" applyAlignment="1"/>
    <xf numFmtId="165" fontId="10" fillId="2" borderId="9" xfId="5" applyNumberFormat="1" applyFont="1" applyBorder="1" applyAlignment="1">
      <alignment vertical="center"/>
    </xf>
    <xf numFmtId="43" fontId="21" fillId="3" borderId="62" xfId="5" applyFont="1" applyFill="1" applyBorder="1" applyAlignment="1">
      <alignment horizontal="right"/>
    </xf>
    <xf numFmtId="43" fontId="21" fillId="3" borderId="9" xfId="5" applyFont="1" applyFill="1" applyBorder="1" applyAlignment="1"/>
    <xf numFmtId="43" fontId="21" fillId="3" borderId="9" xfId="5" applyFont="1" applyFill="1" applyBorder="1" applyAlignment="1">
      <alignment horizontal="right"/>
    </xf>
    <xf numFmtId="43" fontId="21" fillId="3" borderId="11" xfId="5" applyFont="1" applyFill="1" applyBorder="1" applyAlignment="1">
      <alignment horizontal="right"/>
    </xf>
    <xf numFmtId="43" fontId="21" fillId="3" borderId="24" xfId="5" applyFont="1" applyFill="1" applyBorder="1" applyAlignment="1">
      <alignment horizontal="right"/>
    </xf>
    <xf numFmtId="165" fontId="10" fillId="2" borderId="11" xfId="5" applyNumberFormat="1" applyFont="1" applyBorder="1" applyAlignment="1"/>
    <xf numFmtId="165" fontId="21" fillId="3" borderId="66" xfId="5" applyNumberFormat="1" applyFont="1" applyFill="1" applyBorder="1" applyAlignment="1">
      <alignment horizontal="right"/>
    </xf>
    <xf numFmtId="165" fontId="21" fillId="3" borderId="66" xfId="5" applyNumberFormat="1" applyFont="1" applyFill="1" applyBorder="1" applyAlignment="1"/>
    <xf numFmtId="167" fontId="21" fillId="3" borderId="67" xfId="5" applyNumberFormat="1" applyFont="1" applyFill="1" applyBorder="1" applyAlignment="1">
      <alignment horizontal="right"/>
    </xf>
    <xf numFmtId="43" fontId="10" fillId="2" borderId="12" xfId="5" applyFont="1" applyFill="1" applyBorder="1" applyAlignment="1">
      <alignment vertical="center"/>
    </xf>
    <xf numFmtId="1" fontId="10" fillId="2" borderId="1" xfId="4" applyNumberFormat="1" applyFont="1" applyBorder="1" applyAlignment="1">
      <alignment horizontal="center" vertical="center"/>
    </xf>
    <xf numFmtId="43" fontId="10" fillId="2" borderId="8" xfId="5" applyFont="1" applyFill="1" applyBorder="1" applyAlignment="1">
      <alignment vertical="center"/>
    </xf>
    <xf numFmtId="43" fontId="10" fillId="2" borderId="40" xfId="5" applyFont="1" applyFill="1" applyBorder="1" applyAlignment="1">
      <alignment vertical="center"/>
    </xf>
    <xf numFmtId="43" fontId="10" fillId="2" borderId="143" xfId="5" applyFont="1" applyFill="1" applyBorder="1" applyAlignment="1">
      <alignment vertical="center"/>
    </xf>
    <xf numFmtId="173" fontId="10" fillId="2" borderId="123" xfId="5" applyNumberFormat="1" applyFont="1" applyFill="1" applyBorder="1" applyAlignment="1">
      <alignment vertical="center"/>
    </xf>
    <xf numFmtId="43" fontId="10" fillId="2" borderId="123" xfId="5" applyFont="1" applyFill="1" applyBorder="1" applyAlignment="1">
      <alignment vertical="center"/>
    </xf>
    <xf numFmtId="43" fontId="10" fillId="2" borderId="144" xfId="5" applyFont="1" applyFill="1" applyBorder="1" applyAlignment="1">
      <alignment vertical="center"/>
    </xf>
    <xf numFmtId="173" fontId="10" fillId="2" borderId="66" xfId="5" applyNumberFormat="1" applyFont="1" applyFill="1" applyBorder="1" applyAlignment="1">
      <alignment vertical="center"/>
    </xf>
    <xf numFmtId="165" fontId="10" fillId="2" borderId="142" xfId="5" applyNumberFormat="1" applyFont="1" applyBorder="1" applyAlignment="1">
      <alignment vertical="center"/>
    </xf>
    <xf numFmtId="43" fontId="10" fillId="2" borderId="4" xfId="5" applyFont="1" applyBorder="1" applyAlignment="1">
      <alignment vertical="center"/>
    </xf>
    <xf numFmtId="165" fontId="10" fillId="2" borderId="13" xfId="5" applyNumberFormat="1" applyFont="1" applyBorder="1" applyAlignment="1">
      <alignment vertical="center"/>
    </xf>
    <xf numFmtId="0" fontId="10" fillId="2" borderId="29" xfId="4" applyFont="1" applyBorder="1" applyAlignment="1">
      <alignment horizontal="left" vertical="center" indent="2"/>
    </xf>
    <xf numFmtId="173" fontId="10" fillId="2" borderId="94" xfId="5" applyNumberFormat="1" applyFont="1" applyFill="1" applyBorder="1" applyAlignment="1">
      <alignment vertical="center"/>
    </xf>
    <xf numFmtId="0" fontId="11" fillId="2" borderId="0" xfId="4" applyFont="1" applyAlignment="1">
      <alignment vertical="center"/>
    </xf>
    <xf numFmtId="0" fontId="13" fillId="2" borderId="0" xfId="4" applyFont="1"/>
    <xf numFmtId="0" fontId="14" fillId="2" borderId="0" xfId="4" applyFont="1"/>
    <xf numFmtId="0" fontId="11" fillId="2" borderId="0" xfId="4" applyFont="1"/>
    <xf numFmtId="43" fontId="10" fillId="2" borderId="11" xfId="4" applyNumberFormat="1" applyFont="1" applyBorder="1" applyAlignment="1">
      <alignment vertical="center"/>
    </xf>
    <xf numFmtId="43" fontId="10" fillId="2" borderId="49" xfId="5" applyFont="1" applyBorder="1" applyAlignment="1">
      <alignment vertical="center"/>
    </xf>
    <xf numFmtId="43" fontId="43" fillId="2" borderId="0" xfId="4" applyNumberFormat="1" applyFont="1" applyAlignment="1">
      <alignment vertical="center"/>
    </xf>
    <xf numFmtId="165" fontId="18" fillId="2" borderId="10" xfId="5" applyNumberFormat="1" applyFont="1" applyBorder="1" applyAlignment="1">
      <alignment vertical="center"/>
    </xf>
    <xf numFmtId="0" fontId="43" fillId="2" borderId="0" xfId="4" applyFont="1" applyAlignment="1">
      <alignment vertical="center"/>
    </xf>
    <xf numFmtId="0" fontId="43" fillId="2" borderId="0" xfId="4" applyFont="1"/>
    <xf numFmtId="0" fontId="8" fillId="2" borderId="32" xfId="4" applyFont="1" applyBorder="1"/>
    <xf numFmtId="165" fontId="10" fillId="2" borderId="11" xfId="5" applyNumberFormat="1" applyFont="1" applyFill="1" applyBorder="1" applyAlignment="1">
      <alignment vertical="center"/>
    </xf>
    <xf numFmtId="166" fontId="43" fillId="2" borderId="0" xfId="4" applyNumberFormat="1" applyFont="1"/>
    <xf numFmtId="0" fontId="10" fillId="2" borderId="0" xfId="4" applyFont="1" applyAlignment="1">
      <alignment horizontal="left" vertical="center" wrapText="1" indent="3"/>
    </xf>
    <xf numFmtId="43" fontId="10" fillId="2" borderId="0" xfId="5" applyFont="1" applyBorder="1" applyAlignment="1">
      <alignment vertical="center"/>
    </xf>
    <xf numFmtId="166" fontId="11" fillId="2" borderId="0" xfId="4" applyNumberFormat="1" applyFont="1"/>
    <xf numFmtId="0" fontId="18" fillId="2" borderId="0" xfId="4" applyFont="1" applyAlignment="1">
      <alignment horizontal="center" vertical="center"/>
    </xf>
    <xf numFmtId="166" fontId="11" fillId="2" borderId="0" xfId="4" applyNumberFormat="1" applyFont="1" applyAlignment="1">
      <alignment vertical="center"/>
    </xf>
    <xf numFmtId="165" fontId="10" fillId="2" borderId="30" xfId="5" applyNumberFormat="1" applyFont="1" applyBorder="1" applyAlignment="1">
      <alignment vertical="center"/>
    </xf>
    <xf numFmtId="40" fontId="11" fillId="2" borderId="0" xfId="4" applyNumberFormat="1" applyFont="1" applyAlignment="1">
      <alignment vertical="center"/>
    </xf>
    <xf numFmtId="167" fontId="11" fillId="2" borderId="0" xfId="4" applyNumberFormat="1" applyFont="1" applyAlignment="1">
      <alignment vertical="center"/>
    </xf>
    <xf numFmtId="40" fontId="43" fillId="2" borderId="0" xfId="4" applyNumberFormat="1" applyFont="1" applyAlignment="1">
      <alignment vertical="center"/>
    </xf>
    <xf numFmtId="39" fontId="11" fillId="2" borderId="0" xfId="4" applyNumberFormat="1" applyFont="1" applyAlignment="1">
      <alignment vertical="center"/>
    </xf>
    <xf numFmtId="0" fontId="15" fillId="2" borderId="53" xfId="4" applyFont="1" applyBorder="1" applyAlignment="1">
      <alignment horizontal="center" vertical="center"/>
    </xf>
    <xf numFmtId="43" fontId="15" fillId="2" borderId="16" xfId="5" applyFont="1" applyBorder="1" applyAlignment="1">
      <alignment vertical="center"/>
    </xf>
    <xf numFmtId="43" fontId="15" fillId="2" borderId="17" xfId="5" applyFont="1" applyBorder="1" applyAlignment="1">
      <alignment vertical="center"/>
    </xf>
    <xf numFmtId="0" fontId="10" fillId="2" borderId="33" xfId="4" applyFont="1" applyBorder="1" applyAlignment="1">
      <alignment horizontal="center" vertical="center"/>
    </xf>
    <xf numFmtId="43" fontId="10" fillId="2" borderId="33" xfId="5" applyFont="1" applyBorder="1" applyAlignment="1">
      <alignment vertical="center"/>
    </xf>
    <xf numFmtId="168" fontId="11" fillId="2" borderId="0" xfId="4" applyNumberFormat="1" applyFont="1" applyAlignment="1">
      <alignment vertical="center"/>
    </xf>
    <xf numFmtId="0" fontId="15" fillId="2" borderId="37" xfId="4" applyFont="1" applyBorder="1" applyAlignment="1">
      <alignment horizontal="left" vertical="center"/>
    </xf>
    <xf numFmtId="39" fontId="10" fillId="2" borderId="38" xfId="4" applyNumberFormat="1" applyFont="1" applyBorder="1" applyAlignment="1">
      <alignment vertical="center"/>
    </xf>
    <xf numFmtId="43" fontId="10" fillId="2" borderId="38" xfId="5" applyFont="1" applyBorder="1" applyAlignment="1">
      <alignment vertical="center"/>
    </xf>
    <xf numFmtId="43" fontId="10" fillId="2" borderId="39" xfId="5" applyFont="1" applyBorder="1" applyAlignment="1">
      <alignment vertical="center"/>
    </xf>
    <xf numFmtId="0" fontId="10" fillId="2" borderId="145" xfId="4" applyFont="1" applyBorder="1" applyAlignment="1">
      <alignment horizontal="left" vertical="center" indent="2"/>
    </xf>
    <xf numFmtId="39" fontId="10" fillId="2" borderId="146" xfId="4" applyNumberFormat="1" applyFont="1" applyBorder="1" applyAlignment="1">
      <alignment vertical="center"/>
    </xf>
    <xf numFmtId="43" fontId="10" fillId="2" borderId="146" xfId="5" applyFont="1" applyBorder="1" applyAlignment="1">
      <alignment vertical="center"/>
    </xf>
    <xf numFmtId="43" fontId="10" fillId="2" borderId="147" xfId="5" applyFont="1" applyBorder="1" applyAlignment="1">
      <alignment vertical="center"/>
    </xf>
    <xf numFmtId="0" fontId="10" fillId="2" borderId="0" xfId="4" applyFont="1" applyAlignment="1">
      <alignment horizontal="left" vertical="center" wrapText="1"/>
    </xf>
    <xf numFmtId="40" fontId="10" fillId="2" borderId="0" xfId="4" applyNumberFormat="1" applyFont="1" applyAlignment="1">
      <alignment vertical="center"/>
    </xf>
    <xf numFmtId="39" fontId="10" fillId="2" borderId="8" xfId="4" applyNumberFormat="1" applyFont="1" applyBorder="1" applyAlignment="1">
      <alignment vertical="center" wrapText="1"/>
    </xf>
    <xf numFmtId="43" fontId="10" fillId="2" borderId="8" xfId="5" applyFont="1" applyBorder="1" applyAlignment="1">
      <alignment vertical="center" wrapText="1"/>
    </xf>
    <xf numFmtId="43" fontId="10" fillId="2" borderId="40" xfId="5" applyFont="1" applyBorder="1" applyAlignment="1">
      <alignment vertical="center" wrapText="1"/>
    </xf>
    <xf numFmtId="39" fontId="10" fillId="2" borderId="8" xfId="4" applyNumberFormat="1" applyFont="1" applyBorder="1" applyAlignment="1">
      <alignment vertical="center"/>
    </xf>
    <xf numFmtId="43" fontId="10" fillId="2" borderId="40" xfId="5" applyFont="1" applyBorder="1" applyAlignment="1">
      <alignment vertical="center"/>
    </xf>
    <xf numFmtId="39" fontId="10" fillId="2" borderId="41" xfId="4" applyNumberFormat="1" applyFont="1" applyBorder="1" applyAlignment="1">
      <alignment vertical="center"/>
    </xf>
    <xf numFmtId="43" fontId="10" fillId="2" borderId="41" xfId="5" applyFont="1" applyBorder="1" applyAlignment="1">
      <alignment vertical="center"/>
    </xf>
    <xf numFmtId="43" fontId="15" fillId="2" borderId="42" xfId="5" applyFont="1" applyBorder="1" applyAlignment="1">
      <alignment vertical="center"/>
    </xf>
    <xf numFmtId="169" fontId="11" fillId="2" borderId="0" xfId="4" applyNumberFormat="1" applyFont="1" applyAlignment="1">
      <alignment vertical="center"/>
    </xf>
    <xf numFmtId="43" fontId="17" fillId="2" borderId="28" xfId="5" applyFont="1" applyBorder="1" applyAlignment="1">
      <alignment vertical="center"/>
    </xf>
    <xf numFmtId="40" fontId="11" fillId="2" borderId="0" xfId="4" applyNumberFormat="1" applyFont="1"/>
    <xf numFmtId="43" fontId="10" fillId="2" borderId="0" xfId="4" applyNumberFormat="1" applyFont="1"/>
    <xf numFmtId="43" fontId="11" fillId="2" borderId="0" xfId="4" applyNumberFormat="1" applyFont="1"/>
    <xf numFmtId="39" fontId="11" fillId="2" borderId="0" xfId="4" applyNumberFormat="1" applyFont="1"/>
    <xf numFmtId="170" fontId="11" fillId="2" borderId="0" xfId="4" applyNumberFormat="1" applyFont="1"/>
    <xf numFmtId="0" fontId="10" fillId="2" borderId="0" xfId="4" applyFont="1" applyAlignment="1">
      <alignment horizontal="left" vertical="center"/>
    </xf>
    <xf numFmtId="1" fontId="10" fillId="2" borderId="0" xfId="4" applyNumberFormat="1" applyFont="1" applyAlignment="1">
      <alignment horizontal="center" vertical="center"/>
    </xf>
    <xf numFmtId="0" fontId="15" fillId="2" borderId="0" xfId="6" applyFont="1" applyAlignment="1">
      <alignment horizontal="center"/>
    </xf>
    <xf numFmtId="0" fontId="7" fillId="2" borderId="0" xfId="4" applyFont="1"/>
    <xf numFmtId="0" fontId="9" fillId="3" borderId="0" xfId="6" applyFont="1" applyFill="1" applyAlignment="1">
      <alignment horizontal="left" vertical="center"/>
    </xf>
    <xf numFmtId="0" fontId="10" fillId="3" borderId="0" xfId="6" applyFont="1" applyFill="1" applyAlignment="1">
      <alignment vertical="center"/>
    </xf>
    <xf numFmtId="4" fontId="10" fillId="3" borderId="0" xfId="6" applyNumberFormat="1" applyFont="1" applyFill="1" applyAlignment="1">
      <alignment vertical="center"/>
    </xf>
    <xf numFmtId="0" fontId="1" fillId="2" borderId="0" xfId="6"/>
    <xf numFmtId="0" fontId="10" fillId="2" borderId="0" xfId="6" applyFont="1" applyAlignment="1">
      <alignment vertical="center"/>
    </xf>
    <xf numFmtId="4" fontId="10" fillId="2" borderId="0" xfId="6" applyNumberFormat="1" applyFont="1" applyAlignment="1">
      <alignment vertical="center"/>
    </xf>
    <xf numFmtId="0" fontId="10" fillId="2" borderId="0" xfId="6" applyFont="1"/>
    <xf numFmtId="0" fontId="15" fillId="2" borderId="0" xfId="6" applyFont="1"/>
    <xf numFmtId="164" fontId="15" fillId="3" borderId="14" xfId="6" applyNumberFormat="1" applyFont="1" applyFill="1" applyBorder="1" applyAlignment="1">
      <alignment horizontal="center" vertical="center" wrapText="1"/>
    </xf>
    <xf numFmtId="164" fontId="17" fillId="3" borderId="14" xfId="6" applyNumberFormat="1" applyFont="1" applyFill="1" applyBorder="1" applyAlignment="1">
      <alignment horizontal="center" vertical="center" wrapText="1"/>
    </xf>
    <xf numFmtId="164" fontId="15" fillId="3" borderId="18" xfId="6" applyNumberFormat="1" applyFont="1" applyFill="1" applyBorder="1" applyAlignment="1">
      <alignment horizontal="center" vertical="top" wrapText="1"/>
    </xf>
    <xf numFmtId="0" fontId="15" fillId="3" borderId="19" xfId="6" applyFont="1" applyFill="1" applyBorder="1" applyAlignment="1">
      <alignment horizontal="center"/>
    </xf>
    <xf numFmtId="164" fontId="15" fillId="3" borderId="19" xfId="6" applyNumberFormat="1" applyFont="1" applyFill="1" applyBorder="1" applyAlignment="1">
      <alignment horizontal="center"/>
    </xf>
    <xf numFmtId="0" fontId="15" fillId="2" borderId="20" xfId="6" applyFont="1" applyBorder="1" applyAlignment="1">
      <alignment horizontal="left" vertical="center"/>
    </xf>
    <xf numFmtId="0" fontId="10" fillId="2" borderId="21" xfId="6" applyFont="1" applyBorder="1" applyAlignment="1">
      <alignment vertical="center"/>
    </xf>
    <xf numFmtId="0" fontId="10" fillId="2" borderId="33" xfId="6" applyFont="1" applyBorder="1" applyAlignment="1">
      <alignment vertical="center"/>
    </xf>
    <xf numFmtId="0" fontId="10" fillId="2" borderId="34" xfId="6" applyFont="1" applyBorder="1" applyAlignment="1">
      <alignment vertical="center"/>
    </xf>
    <xf numFmtId="0" fontId="15" fillId="2" borderId="23" xfId="6" applyFont="1" applyBorder="1" applyAlignment="1">
      <alignment horizontal="left" vertical="center"/>
    </xf>
    <xf numFmtId="0" fontId="10" fillId="2" borderId="10" xfId="6" applyFont="1" applyBorder="1" applyAlignment="1">
      <alignment horizontal="center" vertical="center"/>
    </xf>
    <xf numFmtId="0" fontId="10" fillId="2" borderId="11" xfId="6" applyFont="1" applyBorder="1" applyAlignment="1">
      <alignment vertical="center"/>
    </xf>
    <xf numFmtId="0" fontId="10" fillId="2" borderId="12" xfId="6" applyFont="1" applyBorder="1" applyAlignment="1">
      <alignment vertical="center"/>
    </xf>
    <xf numFmtId="0" fontId="10" fillId="2" borderId="25" xfId="6" applyFont="1" applyBorder="1" applyAlignment="1">
      <alignment vertical="center"/>
    </xf>
    <xf numFmtId="0" fontId="15" fillId="2" borderId="23" xfId="6" applyFont="1" applyBorder="1" applyAlignment="1">
      <alignment horizontal="left" vertical="center" indent="1"/>
    </xf>
    <xf numFmtId="39" fontId="10" fillId="2" borderId="10" xfId="6" applyNumberFormat="1" applyFont="1" applyBorder="1" applyAlignment="1">
      <alignment vertical="center"/>
    </xf>
    <xf numFmtId="39" fontId="10" fillId="2" borderId="11" xfId="6" applyNumberFormat="1" applyFont="1" applyBorder="1" applyAlignment="1">
      <alignment vertical="center"/>
    </xf>
    <xf numFmtId="39" fontId="10" fillId="2" borderId="12" xfId="6" applyNumberFormat="1" applyFont="1" applyBorder="1" applyAlignment="1">
      <alignment vertical="center"/>
    </xf>
    <xf numFmtId="39" fontId="10" fillId="2" borderId="25" xfId="6" applyNumberFormat="1" applyFont="1" applyBorder="1" applyAlignment="1">
      <alignment vertical="center"/>
    </xf>
    <xf numFmtId="0" fontId="10" fillId="3" borderId="23" xfId="6" applyFont="1" applyFill="1" applyBorder="1" applyAlignment="1">
      <alignment horizontal="left" vertical="center" indent="2"/>
    </xf>
    <xf numFmtId="1" fontId="10" fillId="3" borderId="10" xfId="6" applyNumberFormat="1" applyFont="1" applyFill="1" applyBorder="1" applyAlignment="1">
      <alignment horizontal="center" vertical="center"/>
    </xf>
    <xf numFmtId="0" fontId="15" fillId="3" borderId="23" xfId="6" applyFont="1" applyFill="1" applyBorder="1" applyAlignment="1">
      <alignment horizontal="left" vertical="center" indent="1"/>
    </xf>
    <xf numFmtId="0" fontId="10" fillId="3" borderId="26" xfId="6" applyFont="1" applyFill="1" applyBorder="1" applyAlignment="1">
      <alignment horizontal="left" vertical="center" indent="2"/>
    </xf>
    <xf numFmtId="1" fontId="10" fillId="3" borderId="1" xfId="6" applyNumberFormat="1" applyFont="1" applyFill="1" applyBorder="1" applyAlignment="1">
      <alignment horizontal="center" vertical="center"/>
    </xf>
    <xf numFmtId="165" fontId="10" fillId="2" borderId="2" xfId="5" applyNumberFormat="1" applyFont="1" applyBorder="1" applyAlignment="1">
      <alignment vertical="center"/>
    </xf>
    <xf numFmtId="1" fontId="10" fillId="3" borderId="123" xfId="6" applyNumberFormat="1" applyFont="1" applyFill="1" applyBorder="1" applyAlignment="1">
      <alignment horizontal="center" vertical="center"/>
    </xf>
    <xf numFmtId="165" fontId="10" fillId="2" borderId="123" xfId="5" applyNumberFormat="1" applyFont="1" applyBorder="1" applyAlignment="1">
      <alignment vertical="center"/>
    </xf>
    <xf numFmtId="165" fontId="10" fillId="2" borderId="129" xfId="5" applyNumberFormat="1" applyFont="1" applyBorder="1" applyAlignment="1">
      <alignment vertical="center"/>
    </xf>
    <xf numFmtId="1" fontId="10" fillId="3" borderId="66" xfId="6" applyNumberFormat="1" applyFont="1" applyFill="1" applyBorder="1" applyAlignment="1">
      <alignment horizontal="center" vertical="center"/>
    </xf>
    <xf numFmtId="165" fontId="10" fillId="2" borderId="66" xfId="5" applyNumberFormat="1" applyFont="1" applyBorder="1" applyAlignment="1">
      <alignment vertical="center"/>
    </xf>
    <xf numFmtId="165" fontId="10" fillId="2" borderId="127" xfId="5" applyNumberFormat="1" applyFont="1" applyBorder="1" applyAlignment="1">
      <alignment vertical="center"/>
    </xf>
    <xf numFmtId="165" fontId="10" fillId="2" borderId="49" xfId="5" applyNumberFormat="1" applyFont="1" applyBorder="1" applyAlignment="1">
      <alignment vertical="center"/>
    </xf>
    <xf numFmtId="0" fontId="15" fillId="2" borderId="28" xfId="6" applyFont="1" applyBorder="1" applyAlignment="1">
      <alignment horizontal="center" vertical="center"/>
    </xf>
    <xf numFmtId="1" fontId="15" fillId="2" borderId="28" xfId="6" applyNumberFormat="1" applyFont="1" applyBorder="1" applyAlignment="1">
      <alignment horizontal="center" vertical="center"/>
    </xf>
    <xf numFmtId="165" fontId="15" fillId="3" borderId="106" xfId="5" applyNumberFormat="1" applyFont="1" applyFill="1" applyBorder="1" applyAlignment="1">
      <alignment vertical="center"/>
    </xf>
    <xf numFmtId="165" fontId="15" fillId="3" borderId="60" xfId="5" applyNumberFormat="1" applyFont="1" applyFill="1" applyBorder="1" applyAlignment="1">
      <alignment vertical="center"/>
    </xf>
    <xf numFmtId="0" fontId="15" fillId="2" borderId="29" xfId="6" applyFont="1" applyBorder="1" applyAlignment="1">
      <alignment horizontal="left" vertical="center"/>
    </xf>
    <xf numFmtId="1" fontId="10" fillId="2" borderId="4" xfId="6" applyNumberFormat="1" applyFont="1" applyBorder="1" applyAlignment="1">
      <alignment horizontal="center" vertical="center"/>
    </xf>
    <xf numFmtId="165" fontId="10" fillId="2" borderId="107" xfId="5" applyNumberFormat="1" applyFont="1" applyBorder="1" applyAlignment="1">
      <alignment vertical="center"/>
    </xf>
    <xf numFmtId="165" fontId="10" fillId="2" borderId="34" xfId="5" applyNumberFormat="1" applyFont="1" applyBorder="1" applyAlignment="1">
      <alignment vertical="center"/>
    </xf>
    <xf numFmtId="0" fontId="10" fillId="2" borderId="23" xfId="6" applyFont="1" applyBorder="1" applyAlignment="1">
      <alignment horizontal="left" vertical="center" indent="2"/>
    </xf>
    <xf numFmtId="1" fontId="10" fillId="2" borderId="10" xfId="6" applyNumberFormat="1" applyFont="1" applyBorder="1" applyAlignment="1">
      <alignment horizontal="center" vertical="center"/>
    </xf>
    <xf numFmtId="165" fontId="10" fillId="2" borderId="104" xfId="5" applyNumberFormat="1" applyFont="1" applyBorder="1" applyAlignment="1">
      <alignment vertical="center"/>
    </xf>
    <xf numFmtId="165" fontId="10" fillId="2" borderId="103" xfId="5" applyNumberFormat="1" applyFont="1" applyBorder="1" applyAlignment="1">
      <alignment vertical="center"/>
    </xf>
    <xf numFmtId="165" fontId="10" fillId="3" borderId="104" xfId="5" applyNumberFormat="1" applyFont="1" applyFill="1" applyBorder="1" applyAlignment="1">
      <alignment vertical="center"/>
    </xf>
    <xf numFmtId="0" fontId="10" fillId="2" borderId="26" xfId="6" applyFont="1" applyBorder="1" applyAlignment="1">
      <alignment horizontal="left" vertical="center" indent="2"/>
    </xf>
    <xf numFmtId="1" fontId="10" fillId="2" borderId="1" xfId="6" applyNumberFormat="1" applyFont="1" applyBorder="1" applyAlignment="1">
      <alignment horizontal="center" vertical="center"/>
    </xf>
    <xf numFmtId="165" fontId="10" fillId="2" borderId="128" xfId="5" applyNumberFormat="1" applyFont="1" applyBorder="1" applyAlignment="1">
      <alignment vertical="center"/>
    </xf>
    <xf numFmtId="39" fontId="15" fillId="2" borderId="28" xfId="6" applyNumberFormat="1" applyFont="1" applyBorder="1" applyAlignment="1">
      <alignment vertical="center"/>
    </xf>
    <xf numFmtId="0" fontId="15" fillId="2" borderId="0" xfId="6" applyFont="1" applyAlignment="1">
      <alignment horizontal="center" vertical="center" wrapText="1"/>
    </xf>
    <xf numFmtId="0" fontId="14" fillId="2" borderId="0" xfId="6" applyFont="1" applyAlignment="1">
      <alignment horizontal="center" vertical="center" wrapText="1"/>
    </xf>
    <xf numFmtId="0" fontId="15" fillId="3" borderId="0" xfId="6" applyFont="1" applyFill="1" applyAlignment="1">
      <alignment horizontal="center"/>
    </xf>
    <xf numFmtId="0" fontId="10" fillId="2" borderId="0" xfId="6" applyFont="1" applyAlignment="1">
      <alignment horizontal="center"/>
    </xf>
    <xf numFmtId="0" fontId="10" fillId="2" borderId="0" xfId="6" applyFont="1" applyAlignment="1">
      <alignment horizontal="center" vertical="center" wrapText="1"/>
    </xf>
    <xf numFmtId="0" fontId="10" fillId="3" borderId="0" xfId="6" applyFont="1" applyFill="1" applyAlignment="1">
      <alignment horizontal="center"/>
    </xf>
    <xf numFmtId="0" fontId="18" fillId="2" borderId="0" xfId="6" applyFont="1" applyAlignment="1">
      <alignment horizontal="center"/>
    </xf>
    <xf numFmtId="0" fontId="16" fillId="2" borderId="0" xfId="6" applyFont="1"/>
    <xf numFmtId="0" fontId="14" fillId="3" borderId="0" xfId="6" applyFont="1" applyFill="1"/>
    <xf numFmtId="0" fontId="8" fillId="2" borderId="0" xfId="6" applyFont="1"/>
    <xf numFmtId="0" fontId="10" fillId="3" borderId="0" xfId="6" applyFont="1" applyFill="1"/>
    <xf numFmtId="0" fontId="15" fillId="3" borderId="88" xfId="6" applyFont="1" applyFill="1" applyBorder="1" applyAlignment="1">
      <alignment horizontal="center"/>
    </xf>
    <xf numFmtId="0" fontId="10" fillId="2" borderId="22" xfId="6" applyFont="1" applyBorder="1" applyAlignment="1">
      <alignment vertical="center"/>
    </xf>
    <xf numFmtId="0" fontId="10" fillId="2" borderId="24" xfId="6" applyFont="1" applyBorder="1" applyAlignment="1">
      <alignment vertical="center"/>
    </xf>
    <xf numFmtId="39" fontId="10" fillId="3" borderId="10" xfId="6" applyNumberFormat="1" applyFont="1" applyFill="1" applyBorder="1" applyAlignment="1">
      <alignment vertical="center"/>
    </xf>
    <xf numFmtId="39" fontId="10" fillId="2" borderId="24" xfId="6" applyNumberFormat="1" applyFont="1" applyBorder="1" applyAlignment="1">
      <alignment vertical="center"/>
    </xf>
    <xf numFmtId="167" fontId="10" fillId="2" borderId="24" xfId="5" applyNumberFormat="1" applyFont="1" applyBorder="1" applyAlignment="1">
      <alignment vertical="center"/>
    </xf>
    <xf numFmtId="167" fontId="10" fillId="2" borderId="10" xfId="5" applyNumberFormat="1" applyFont="1" applyBorder="1" applyAlignment="1">
      <alignment vertical="center"/>
    </xf>
    <xf numFmtId="43" fontId="8" fillId="2" borderId="0" xfId="6" applyNumberFormat="1" applyFont="1"/>
    <xf numFmtId="0" fontId="10" fillId="2" borderId="21" xfId="6" applyFont="1" applyBorder="1" applyAlignment="1">
      <alignment horizontal="center" vertical="center"/>
    </xf>
    <xf numFmtId="0" fontId="10" fillId="3" borderId="29" xfId="6" applyFont="1" applyFill="1" applyBorder="1" applyAlignment="1">
      <alignment horizontal="left" vertical="center"/>
    </xf>
    <xf numFmtId="37" fontId="10" fillId="3" borderId="4" xfId="6" applyNumberFormat="1" applyFont="1" applyFill="1" applyBorder="1" applyAlignment="1">
      <alignment horizontal="center" vertical="center"/>
    </xf>
    <xf numFmtId="0" fontId="10" fillId="3" borderId="23" xfId="6" applyFont="1" applyFill="1" applyBorder="1" applyAlignment="1">
      <alignment horizontal="left" vertical="center"/>
    </xf>
    <xf numFmtId="37" fontId="10" fillId="2" borderId="4" xfId="6" applyNumberFormat="1" applyFont="1" applyBorder="1" applyAlignment="1">
      <alignment horizontal="center" vertical="center"/>
    </xf>
    <xf numFmtId="43" fontId="10" fillId="3" borderId="11" xfId="5" applyFont="1" applyFill="1" applyBorder="1" applyAlignment="1">
      <alignment vertical="center"/>
    </xf>
    <xf numFmtId="0" fontId="10" fillId="2" borderId="23" xfId="6" applyFont="1" applyBorder="1" applyAlignment="1">
      <alignment horizontal="left" vertical="center"/>
    </xf>
    <xf numFmtId="37" fontId="10" fillId="2" borderId="11" xfId="6" applyNumberFormat="1" applyFont="1" applyBorder="1" applyAlignment="1">
      <alignment horizontal="center" vertical="center"/>
    </xf>
    <xf numFmtId="164" fontId="10" fillId="2" borderId="0" xfId="6" applyNumberFormat="1" applyFont="1"/>
    <xf numFmtId="0" fontId="15" fillId="2" borderId="0" xfId="6" applyFont="1" applyAlignment="1">
      <alignment vertical="center"/>
    </xf>
    <xf numFmtId="43" fontId="10" fillId="2" borderId="47" xfId="5" applyFont="1" applyBorder="1"/>
    <xf numFmtId="1" fontId="10" fillId="3" borderId="4" xfId="6" applyNumberFormat="1" applyFont="1" applyFill="1" applyBorder="1" applyAlignment="1">
      <alignment horizontal="center" vertical="center"/>
    </xf>
    <xf numFmtId="1" fontId="10" fillId="3" borderId="43" xfId="6" applyNumberFormat="1" applyFont="1" applyFill="1" applyBorder="1" applyAlignment="1">
      <alignment horizontal="center" vertical="center"/>
    </xf>
    <xf numFmtId="165" fontId="10" fillId="2" borderId="51" xfId="5" applyNumberFormat="1" applyFont="1" applyBorder="1" applyAlignment="1">
      <alignment vertical="center"/>
    </xf>
    <xf numFmtId="165" fontId="10" fillId="2" borderId="52" xfId="5" applyNumberFormat="1" applyFont="1" applyBorder="1" applyAlignment="1">
      <alignment vertical="center"/>
    </xf>
    <xf numFmtId="1" fontId="10" fillId="3" borderId="50" xfId="6" applyNumberFormat="1" applyFont="1" applyFill="1" applyBorder="1" applyAlignment="1">
      <alignment horizontal="center" vertical="center"/>
    </xf>
    <xf numFmtId="0" fontId="15" fillId="2" borderId="53" xfId="6" applyFont="1" applyBorder="1" applyAlignment="1">
      <alignment horizontal="center" vertical="center"/>
    </xf>
    <xf numFmtId="39" fontId="15" fillId="2" borderId="33" xfId="6" applyNumberFormat="1" applyFont="1" applyBorder="1" applyAlignment="1">
      <alignment vertical="center"/>
    </xf>
    <xf numFmtId="43" fontId="15" fillId="3" borderId="33" xfId="5" applyFont="1" applyFill="1" applyBorder="1" applyAlignment="1">
      <alignment vertical="center"/>
    </xf>
    <xf numFmtId="43" fontId="15" fillId="3" borderId="22" xfId="5" applyFont="1" applyFill="1" applyBorder="1" applyAlignment="1">
      <alignment vertical="center"/>
    </xf>
    <xf numFmtId="43" fontId="15" fillId="3" borderId="34" xfId="5" applyFont="1" applyFill="1" applyBorder="1" applyAlignment="1">
      <alignment vertical="center"/>
    </xf>
    <xf numFmtId="0" fontId="15" fillId="2" borderId="148" xfId="6" applyFont="1" applyBorder="1" applyAlignment="1">
      <alignment vertical="center"/>
    </xf>
    <xf numFmtId="39" fontId="15" fillId="2" borderId="11" xfId="6" applyNumberFormat="1" applyFont="1" applyBorder="1" applyAlignment="1">
      <alignment vertical="center"/>
    </xf>
    <xf numFmtId="43" fontId="15" fillId="3" borderId="25" xfId="5" applyFont="1" applyFill="1" applyBorder="1" applyAlignment="1">
      <alignment vertical="center"/>
    </xf>
    <xf numFmtId="0" fontId="29" fillId="2" borderId="148" xfId="6" applyFont="1" applyBorder="1" applyAlignment="1">
      <alignment horizontal="left" vertical="center" wrapText="1"/>
    </xf>
    <xf numFmtId="39" fontId="15" fillId="2" borderId="12" xfId="6" applyNumberFormat="1" applyFont="1" applyBorder="1" applyAlignment="1">
      <alignment vertical="center"/>
    </xf>
    <xf numFmtId="0" fontId="10" fillId="3" borderId="23" xfId="6" applyFont="1" applyFill="1" applyBorder="1" applyAlignment="1">
      <alignment horizontal="left" vertical="center" wrapText="1" indent="2"/>
    </xf>
    <xf numFmtId="39" fontId="10" fillId="2" borderId="2" xfId="6" applyNumberFormat="1" applyFont="1" applyBorder="1" applyAlignment="1">
      <alignment vertical="center"/>
    </xf>
    <xf numFmtId="39" fontId="15" fillId="2" borderId="2" xfId="6" applyNumberFormat="1" applyFont="1" applyBorder="1" applyAlignment="1">
      <alignment vertical="center"/>
    </xf>
    <xf numFmtId="43" fontId="15" fillId="3" borderId="47" xfId="5" applyFont="1" applyFill="1" applyBorder="1" applyAlignment="1">
      <alignment vertical="center"/>
    </xf>
    <xf numFmtId="0" fontId="15" fillId="2" borderId="149" xfId="6" applyFont="1" applyBorder="1" applyAlignment="1">
      <alignment horizontal="center" vertical="center"/>
    </xf>
    <xf numFmtId="0" fontId="10" fillId="2" borderId="29" xfId="6" applyFont="1" applyBorder="1" applyAlignment="1">
      <alignment horizontal="left" vertical="center"/>
    </xf>
    <xf numFmtId="43" fontId="10" fillId="3" borderId="40" xfId="5" applyFont="1" applyFill="1" applyBorder="1" applyAlignment="1">
      <alignment vertical="center"/>
    </xf>
    <xf numFmtId="39" fontId="10" fillId="2" borderId="2" xfId="6" applyNumberFormat="1" applyFont="1" applyBorder="1" applyAlignment="1">
      <alignment horizontal="center" vertical="center"/>
    </xf>
    <xf numFmtId="39" fontId="15" fillId="2" borderId="150" xfId="6" applyNumberFormat="1" applyFont="1" applyBorder="1" applyAlignment="1">
      <alignment vertical="center"/>
    </xf>
    <xf numFmtId="43" fontId="15" fillId="3" borderId="41" xfId="5" applyFont="1" applyFill="1" applyBorder="1" applyAlignment="1">
      <alignment vertical="center"/>
    </xf>
    <xf numFmtId="40" fontId="15" fillId="3" borderId="41" xfId="6" applyNumberFormat="1" applyFont="1" applyFill="1" applyBorder="1" applyAlignment="1">
      <alignment vertical="center"/>
    </xf>
    <xf numFmtId="40" fontId="15" fillId="3" borderId="60" xfId="6" applyNumberFormat="1" applyFont="1" applyFill="1" applyBorder="1" applyAlignment="1">
      <alignment vertical="center"/>
    </xf>
    <xf numFmtId="1" fontId="10" fillId="3" borderId="11" xfId="6" applyNumberFormat="1" applyFont="1" applyFill="1" applyBorder="1" applyAlignment="1">
      <alignment horizontal="center" vertical="center"/>
    </xf>
    <xf numFmtId="0" fontId="10" fillId="3" borderId="29" xfId="6" applyFont="1" applyFill="1" applyBorder="1" applyAlignment="1">
      <alignment horizontal="left" vertical="center" indent="2"/>
    </xf>
    <xf numFmtId="0" fontId="10" fillId="2" borderId="4" xfId="6" applyFont="1" applyBorder="1" applyAlignment="1">
      <alignment vertical="center"/>
    </xf>
    <xf numFmtId="0" fontId="10" fillId="2" borderId="9" xfId="6" applyFont="1" applyBorder="1" applyAlignment="1">
      <alignment vertical="center"/>
    </xf>
    <xf numFmtId="0" fontId="21" fillId="3" borderId="23" xfId="6" applyFont="1" applyFill="1" applyBorder="1" applyAlignment="1">
      <alignment horizontal="left" vertical="center" indent="2"/>
    </xf>
    <xf numFmtId="1" fontId="21" fillId="3" borderId="12" xfId="6" applyNumberFormat="1" applyFont="1" applyFill="1" applyBorder="1" applyAlignment="1">
      <alignment horizontal="center" vertical="center"/>
    </xf>
    <xf numFmtId="0" fontId="21" fillId="3" borderId="29" xfId="6" applyFont="1" applyFill="1" applyBorder="1" applyAlignment="1">
      <alignment horizontal="left" vertical="center" indent="2"/>
    </xf>
    <xf numFmtId="1" fontId="21" fillId="3" borderId="6" xfId="6" applyNumberFormat="1" applyFont="1" applyFill="1" applyBorder="1" applyAlignment="1">
      <alignment horizontal="center" vertical="center"/>
    </xf>
    <xf numFmtId="1" fontId="10" fillId="3" borderId="6" xfId="6" applyNumberFormat="1" applyFont="1" applyFill="1" applyBorder="1" applyAlignment="1">
      <alignment horizontal="center" vertical="center"/>
    </xf>
    <xf numFmtId="0" fontId="10" fillId="3" borderId="23" xfId="6" applyFont="1" applyFill="1" applyBorder="1" applyAlignment="1">
      <alignment horizontal="left" vertical="center" indent="3"/>
    </xf>
    <xf numFmtId="1" fontId="10" fillId="2" borderId="11" xfId="6" applyNumberFormat="1" applyFont="1" applyBorder="1" applyAlignment="1">
      <alignment horizontal="center" vertical="center"/>
    </xf>
    <xf numFmtId="0" fontId="10" fillId="2" borderId="4" xfId="6" applyFont="1" applyBorder="1" applyAlignment="1">
      <alignment horizontal="center" vertical="center"/>
    </xf>
    <xf numFmtId="37" fontId="10" fillId="3" borderId="8" xfId="6" applyNumberFormat="1" applyFont="1" applyFill="1" applyBorder="1" applyAlignment="1">
      <alignment horizontal="center" vertical="center"/>
    </xf>
    <xf numFmtId="0" fontId="41" fillId="3" borderId="0" xfId="6" applyFont="1" applyFill="1" applyAlignment="1">
      <alignment horizontal="left" vertical="center"/>
    </xf>
    <xf numFmtId="0" fontId="21" fillId="3" borderId="0" xfId="6" applyFont="1" applyFill="1" applyAlignment="1">
      <alignment vertical="center"/>
    </xf>
    <xf numFmtId="4" fontId="21" fillId="3" borderId="0" xfId="6" applyNumberFormat="1" applyFont="1" applyFill="1" applyAlignment="1">
      <alignment vertical="center"/>
    </xf>
    <xf numFmtId="0" fontId="16" fillId="2" borderId="0" xfId="6" applyFont="1" applyAlignment="1">
      <alignment vertical="center"/>
    </xf>
    <xf numFmtId="0" fontId="21" fillId="2" borderId="0" xfId="6" applyFont="1" applyAlignment="1">
      <alignment vertical="center"/>
    </xf>
    <xf numFmtId="4" fontId="21" fillId="2" borderId="0" xfId="6" applyNumberFormat="1" applyFont="1" applyAlignment="1">
      <alignment vertical="center"/>
    </xf>
    <xf numFmtId="0" fontId="22" fillId="2" borderId="0" xfId="6" applyFont="1" applyAlignment="1">
      <alignment vertical="center"/>
    </xf>
    <xf numFmtId="164" fontId="23" fillId="3" borderId="14" xfId="6" applyNumberFormat="1" applyFont="1" applyFill="1" applyBorder="1" applyAlignment="1">
      <alignment horizontal="center" vertical="center" wrapText="1"/>
    </xf>
    <xf numFmtId="164" fontId="22" fillId="3" borderId="18" xfId="6" applyNumberFormat="1" applyFont="1" applyFill="1" applyBorder="1" applyAlignment="1">
      <alignment horizontal="center" vertical="top" wrapText="1"/>
    </xf>
    <xf numFmtId="0" fontId="22" fillId="3" borderId="19" xfId="6" applyFont="1" applyFill="1" applyBorder="1" applyAlignment="1">
      <alignment horizontal="center"/>
    </xf>
    <xf numFmtId="164" fontId="22" fillId="3" borderId="19" xfId="6" applyNumberFormat="1" applyFont="1" applyFill="1" applyBorder="1" applyAlignment="1">
      <alignment horizontal="center"/>
    </xf>
    <xf numFmtId="0" fontId="22" fillId="2" borderId="20" xfId="6" applyFont="1" applyBorder="1" applyAlignment="1">
      <alignment horizontal="left" vertical="center"/>
    </xf>
    <xf numFmtId="0" fontId="21" fillId="2" borderId="21" xfId="6" applyFont="1" applyBorder="1" applyAlignment="1">
      <alignment vertical="center"/>
    </xf>
    <xf numFmtId="0" fontId="21" fillId="2" borderId="22" xfId="6" applyFont="1" applyBorder="1" applyAlignment="1">
      <alignment vertical="center"/>
    </xf>
    <xf numFmtId="0" fontId="21" fillId="2" borderId="34" xfId="6" applyFont="1" applyBorder="1" applyAlignment="1">
      <alignment vertical="center"/>
    </xf>
    <xf numFmtId="0" fontId="22" fillId="2" borderId="23" xfId="6" applyFont="1" applyBorder="1" applyAlignment="1">
      <alignment horizontal="left" vertical="center"/>
    </xf>
    <xf numFmtId="0" fontId="21" fillId="2" borderId="10" xfId="6" applyFont="1" applyBorder="1" applyAlignment="1">
      <alignment horizontal="center" vertical="center"/>
    </xf>
    <xf numFmtId="0" fontId="21" fillId="2" borderId="11" xfId="6" applyFont="1" applyBorder="1" applyAlignment="1">
      <alignment vertical="center"/>
    </xf>
    <xf numFmtId="0" fontId="21" fillId="2" borderId="12" xfId="6" applyFont="1" applyBorder="1" applyAlignment="1">
      <alignment vertical="center"/>
    </xf>
    <xf numFmtId="0" fontId="21" fillId="2" borderId="24" xfId="6" applyFont="1" applyBorder="1" applyAlignment="1">
      <alignment vertical="center"/>
    </xf>
    <xf numFmtId="0" fontId="21" fillId="2" borderId="25" xfId="6" applyFont="1" applyBorder="1" applyAlignment="1">
      <alignment vertical="center"/>
    </xf>
    <xf numFmtId="0" fontId="22" fillId="2" borderId="23" xfId="6" applyFont="1" applyBorder="1" applyAlignment="1">
      <alignment horizontal="left" vertical="center" indent="1"/>
    </xf>
    <xf numFmtId="171" fontId="21" fillId="2" borderId="10" xfId="6" applyNumberFormat="1" applyFont="1" applyBorder="1" applyAlignment="1">
      <alignment vertical="center"/>
    </xf>
    <xf numFmtId="171" fontId="21" fillId="2" borderId="11" xfId="6" applyNumberFormat="1" applyFont="1" applyBorder="1" applyAlignment="1">
      <alignment vertical="center"/>
    </xf>
    <xf numFmtId="171" fontId="21" fillId="2" borderId="12" xfId="6" applyNumberFormat="1" applyFont="1" applyBorder="1" applyAlignment="1">
      <alignment vertical="center"/>
    </xf>
    <xf numFmtId="171" fontId="21" fillId="2" borderId="24" xfId="6" applyNumberFormat="1" applyFont="1" applyBorder="1" applyAlignment="1">
      <alignment vertical="center"/>
    </xf>
    <xf numFmtId="171" fontId="21" fillId="2" borderId="25" xfId="6" applyNumberFormat="1" applyFont="1" applyBorder="1" applyAlignment="1">
      <alignment vertical="center"/>
    </xf>
    <xf numFmtId="1" fontId="21" fillId="3" borderId="10" xfId="6" applyNumberFormat="1" applyFont="1" applyFill="1" applyBorder="1" applyAlignment="1">
      <alignment horizontal="center" vertical="center"/>
    </xf>
    <xf numFmtId="0" fontId="22" fillId="3" borderId="23" xfId="6" applyFont="1" applyFill="1" applyBorder="1" applyAlignment="1">
      <alignment horizontal="left" vertical="center" indent="1"/>
    </xf>
    <xf numFmtId="0" fontId="21" fillId="3" borderId="113" xfId="6" applyFont="1" applyFill="1" applyBorder="1" applyAlignment="1">
      <alignment horizontal="left" vertical="center" indent="2"/>
    </xf>
    <xf numFmtId="1" fontId="21" fillId="3" borderId="125" xfId="6" applyNumberFormat="1" applyFont="1" applyFill="1" applyBorder="1" applyAlignment="1">
      <alignment horizontal="center" vertical="center"/>
    </xf>
    <xf numFmtId="171" fontId="21" fillId="2" borderId="50" xfId="6" applyNumberFormat="1" applyFont="1" applyBorder="1" applyAlignment="1">
      <alignment vertical="center"/>
    </xf>
    <xf numFmtId="171" fontId="21" fillId="2" borderId="51" xfId="6" applyNumberFormat="1" applyFont="1" applyBorder="1" applyAlignment="1">
      <alignment vertical="center"/>
    </xf>
    <xf numFmtId="171" fontId="21" fillId="2" borderId="52" xfId="6" applyNumberFormat="1" applyFont="1" applyBorder="1" applyAlignment="1">
      <alignment vertical="center"/>
    </xf>
    <xf numFmtId="0" fontId="22" fillId="3" borderId="98" xfId="6" applyFont="1" applyFill="1" applyBorder="1" applyAlignment="1">
      <alignment horizontal="left" vertical="center" indent="1"/>
    </xf>
    <xf numFmtId="1" fontId="21" fillId="3" borderId="55" xfId="6" applyNumberFormat="1" applyFont="1" applyFill="1" applyBorder="1" applyAlignment="1">
      <alignment horizontal="center" vertical="center"/>
    </xf>
    <xf numFmtId="171" fontId="21" fillId="2" borderId="55" xfId="6" applyNumberFormat="1" applyFont="1" applyBorder="1" applyAlignment="1">
      <alignment vertical="center"/>
    </xf>
    <xf numFmtId="171" fontId="21" fillId="2" borderId="99" xfId="6" applyNumberFormat="1" applyFont="1" applyBorder="1" applyAlignment="1">
      <alignment vertical="center"/>
    </xf>
    <xf numFmtId="171" fontId="21" fillId="2" borderId="56" xfId="6" applyNumberFormat="1" applyFont="1" applyBorder="1" applyAlignment="1">
      <alignment vertical="center"/>
    </xf>
    <xf numFmtId="171" fontId="21" fillId="2" borderId="109" xfId="6" applyNumberFormat="1" applyFont="1" applyBorder="1" applyAlignment="1">
      <alignment vertical="center"/>
    </xf>
    <xf numFmtId="171" fontId="21" fillId="2" borderId="44" xfId="6" applyNumberFormat="1" applyFont="1" applyBorder="1" applyAlignment="1">
      <alignment vertical="center"/>
    </xf>
    <xf numFmtId="171" fontId="21" fillId="2" borderId="45" xfId="6" applyNumberFormat="1" applyFont="1" applyBorder="1" applyAlignment="1">
      <alignment vertical="center"/>
    </xf>
    <xf numFmtId="171" fontId="21" fillId="2" borderId="88" xfId="6" applyNumberFormat="1" applyFont="1" applyBorder="1" applyAlignment="1">
      <alignment vertical="center"/>
    </xf>
    <xf numFmtId="0" fontId="22" fillId="2" borderId="28" xfId="6" applyFont="1" applyBorder="1" applyAlignment="1">
      <alignment horizontal="center" vertical="center"/>
    </xf>
    <xf numFmtId="1" fontId="22" fillId="2" borderId="28" xfId="6" applyNumberFormat="1" applyFont="1" applyBorder="1" applyAlignment="1">
      <alignment horizontal="center" vertical="center"/>
    </xf>
    <xf numFmtId="172" fontId="22" fillId="3" borderId="28" xfId="6" applyNumberFormat="1" applyFont="1" applyFill="1" applyBorder="1" applyAlignment="1">
      <alignment vertical="center"/>
    </xf>
    <xf numFmtId="175" fontId="1" fillId="2" borderId="0" xfId="6" applyNumberFormat="1"/>
    <xf numFmtId="0" fontId="22" fillId="2" borderId="29" xfId="6" applyFont="1" applyBorder="1" applyAlignment="1">
      <alignment horizontal="left" vertical="center"/>
    </xf>
    <xf numFmtId="1" fontId="21" fillId="2" borderId="4" xfId="6" applyNumberFormat="1" applyFont="1" applyBorder="1" applyAlignment="1">
      <alignment horizontal="center" vertical="center"/>
    </xf>
    <xf numFmtId="0" fontId="21" fillId="2" borderId="4" xfId="6" applyFont="1" applyBorder="1" applyAlignment="1">
      <alignment vertical="center"/>
    </xf>
    <xf numFmtId="0" fontId="21" fillId="2" borderId="58" xfId="6" applyFont="1" applyBorder="1" applyAlignment="1">
      <alignment vertical="center"/>
    </xf>
    <xf numFmtId="0" fontId="21" fillId="2" borderId="23" xfId="6" applyFont="1" applyBorder="1" applyAlignment="1">
      <alignment horizontal="left" vertical="center" indent="2"/>
    </xf>
    <xf numFmtId="1" fontId="21" fillId="3" borderId="4" xfId="6" applyNumberFormat="1" applyFont="1" applyFill="1" applyBorder="1" applyAlignment="1">
      <alignment horizontal="center" vertical="center"/>
    </xf>
    <xf numFmtId="171" fontId="21" fillId="2" borderId="4" xfId="6" applyNumberFormat="1" applyFont="1" applyBorder="1" applyAlignment="1">
      <alignment vertical="center"/>
    </xf>
    <xf numFmtId="171" fontId="21" fillId="3" borderId="30" xfId="6" applyNumberFormat="1" applyFont="1" applyFill="1" applyBorder="1" applyAlignment="1">
      <alignment vertical="center"/>
    </xf>
    <xf numFmtId="1" fontId="21" fillId="2" borderId="10" xfId="6" applyNumberFormat="1" applyFont="1" applyBorder="1" applyAlignment="1">
      <alignment horizontal="center" vertical="center"/>
    </xf>
    <xf numFmtId="171" fontId="21" fillId="3" borderId="25" xfId="6" applyNumberFormat="1" applyFont="1" applyFill="1" applyBorder="1" applyAlignment="1">
      <alignment vertical="center"/>
    </xf>
    <xf numFmtId="0" fontId="21" fillId="2" borderId="23" xfId="6" applyFont="1" applyBorder="1" applyAlignment="1">
      <alignment horizontal="left" vertical="center" wrapText="1" indent="2"/>
    </xf>
    <xf numFmtId="0" fontId="21" fillId="3" borderId="23" xfId="6" applyFont="1" applyFill="1" applyBorder="1" applyAlignment="1">
      <alignment horizontal="left" vertical="center" wrapText="1" indent="2"/>
    </xf>
    <xf numFmtId="171" fontId="21" fillId="2" borderId="8" xfId="6" applyNumberFormat="1" applyFont="1" applyBorder="1" applyAlignment="1">
      <alignment vertical="center"/>
    </xf>
    <xf numFmtId="171" fontId="21" fillId="2" borderId="1" xfId="6" applyNumberFormat="1" applyFont="1" applyBorder="1" applyAlignment="1">
      <alignment vertical="center"/>
    </xf>
    <xf numFmtId="171" fontId="21" fillId="2" borderId="30" xfId="6" applyNumberFormat="1" applyFont="1" applyBorder="1" applyAlignment="1">
      <alignment vertical="center"/>
    </xf>
    <xf numFmtId="0" fontId="21" fillId="2" borderId="23" xfId="6" applyFont="1" applyBorder="1" applyAlignment="1">
      <alignment horizontal="left" vertical="center" wrapText="1" indent="3"/>
    </xf>
    <xf numFmtId="1" fontId="21" fillId="3" borderId="59" xfId="6" applyNumberFormat="1" applyFont="1" applyFill="1" applyBorder="1" applyAlignment="1">
      <alignment horizontal="center" vertical="center"/>
    </xf>
    <xf numFmtId="1" fontId="22" fillId="3" borderId="28" xfId="6" applyNumberFormat="1" applyFont="1" applyFill="1" applyBorder="1" applyAlignment="1">
      <alignment horizontal="center" vertical="center"/>
    </xf>
    <xf numFmtId="171" fontId="22" fillId="2" borderId="28" xfId="6" applyNumberFormat="1" applyFont="1" applyBorder="1" applyAlignment="1">
      <alignment vertical="center"/>
    </xf>
    <xf numFmtId="171" fontId="22" fillId="2" borderId="60" xfId="6" applyNumberFormat="1" applyFont="1" applyBorder="1" applyAlignment="1">
      <alignment vertical="center"/>
    </xf>
    <xf numFmtId="171" fontId="22" fillId="2" borderId="61" xfId="6" applyNumberFormat="1" applyFont="1" applyBorder="1" applyAlignment="1">
      <alignment vertical="center"/>
    </xf>
    <xf numFmtId="0" fontId="15" fillId="2" borderId="54" xfId="6" applyFont="1" applyBorder="1" applyAlignment="1">
      <alignment horizontal="left" vertical="center"/>
    </xf>
    <xf numFmtId="1" fontId="22" fillId="3" borderId="35" xfId="6" applyNumberFormat="1" applyFont="1" applyFill="1" applyBorder="1" applyAlignment="1">
      <alignment horizontal="center" vertical="center"/>
    </xf>
    <xf numFmtId="171" fontId="22" fillId="2" borderId="35" xfId="6" applyNumberFormat="1" applyFont="1" applyBorder="1" applyAlignment="1">
      <alignment vertical="center"/>
    </xf>
    <xf numFmtId="171" fontId="22" fillId="2" borderId="17" xfId="6" applyNumberFormat="1" applyFont="1" applyBorder="1" applyAlignment="1">
      <alignment vertical="center"/>
    </xf>
    <xf numFmtId="0" fontId="21" fillId="2" borderId="31" xfId="6" applyFont="1" applyBorder="1" applyAlignment="1">
      <alignment horizontal="left" vertical="center" indent="2"/>
    </xf>
    <xf numFmtId="1" fontId="21" fillId="3" borderId="11" xfId="6" applyNumberFormat="1" applyFont="1" applyFill="1" applyBorder="1" applyAlignment="1">
      <alignment horizontal="center" vertical="center"/>
    </xf>
    <xf numFmtId="0" fontId="22" fillId="2" borderId="19" xfId="6" applyFont="1" applyBorder="1" applyAlignment="1">
      <alignment horizontal="center" vertical="center"/>
    </xf>
    <xf numFmtId="1" fontId="22" fillId="3" borderId="19" xfId="6" applyNumberFormat="1" applyFont="1" applyFill="1" applyBorder="1" applyAlignment="1">
      <alignment horizontal="center" vertical="center"/>
    </xf>
    <xf numFmtId="171" fontId="22" fillId="2" borderId="19" xfId="6" applyNumberFormat="1" applyFont="1" applyBorder="1" applyAlignment="1">
      <alignment vertical="center"/>
    </xf>
    <xf numFmtId="0" fontId="21" fillId="2" borderId="0" xfId="6" applyFont="1"/>
    <xf numFmtId="0" fontId="22" fillId="2" borderId="0" xfId="6" applyFont="1"/>
    <xf numFmtId="0" fontId="1" fillId="2" borderId="0" xfId="6" applyAlignment="1">
      <alignment vertical="center"/>
    </xf>
    <xf numFmtId="0" fontId="22" fillId="2" borderId="0" xfId="6" applyFont="1" applyAlignment="1">
      <alignment horizontal="center"/>
    </xf>
    <xf numFmtId="0" fontId="22" fillId="3" borderId="0" xfId="6" applyFont="1" applyFill="1"/>
    <xf numFmtId="0" fontId="21" fillId="2" borderId="0" xfId="6" applyFont="1" applyAlignment="1">
      <alignment horizontal="center"/>
    </xf>
    <xf numFmtId="0" fontId="21" fillId="2" borderId="0" xfId="6" applyFont="1" applyAlignment="1">
      <alignment horizontal="center" vertical="center" wrapText="1"/>
    </xf>
    <xf numFmtId="0" fontId="6" fillId="2" borderId="0" xfId="6" applyFont="1"/>
    <xf numFmtId="0" fontId="9" fillId="2" borderId="0" xfId="6" applyFont="1" applyAlignment="1">
      <alignment horizontal="left" vertical="center"/>
    </xf>
    <xf numFmtId="0" fontId="15" fillId="2" borderId="0" xfId="6" applyFont="1" applyAlignment="1">
      <alignment horizontal="center" vertical="center"/>
    </xf>
    <xf numFmtId="164" fontId="17" fillId="2" borderId="14" xfId="6" applyNumberFormat="1" applyFont="1" applyBorder="1" applyAlignment="1">
      <alignment horizontal="center" vertical="center" wrapText="1"/>
    </xf>
    <xf numFmtId="164" fontId="15" fillId="2" borderId="18" xfId="6" applyNumberFormat="1" applyFont="1" applyBorder="1" applyAlignment="1">
      <alignment horizontal="center" vertical="top" wrapText="1"/>
    </xf>
    <xf numFmtId="0" fontId="15" fillId="2" borderId="19" xfId="6" applyFont="1" applyBorder="1" applyAlignment="1">
      <alignment horizontal="center"/>
    </xf>
    <xf numFmtId="164" fontId="15" fillId="2" borderId="19" xfId="6" applyNumberFormat="1" applyFont="1" applyBorder="1" applyAlignment="1">
      <alignment horizontal="center"/>
    </xf>
    <xf numFmtId="165" fontId="10" fillId="2" borderId="12" xfId="5" applyNumberFormat="1" applyFont="1" applyFill="1" applyBorder="1" applyAlignment="1">
      <alignment vertical="center"/>
    </xf>
    <xf numFmtId="43" fontId="10" fillId="2" borderId="2" xfId="5" applyFont="1" applyFill="1" applyBorder="1" applyAlignment="1">
      <alignment vertical="center"/>
    </xf>
    <xf numFmtId="43" fontId="10" fillId="2" borderId="47" xfId="5" applyFont="1" applyFill="1" applyBorder="1" applyAlignment="1">
      <alignment vertical="center"/>
    </xf>
    <xf numFmtId="43" fontId="10" fillId="2" borderId="66" xfId="5" applyFont="1" applyFill="1" applyBorder="1" applyAlignment="1">
      <alignment vertical="center"/>
    </xf>
    <xf numFmtId="43" fontId="10" fillId="2" borderId="88" xfId="5" applyFont="1" applyFill="1" applyBorder="1" applyAlignment="1">
      <alignment vertical="center"/>
    </xf>
    <xf numFmtId="0" fontId="10" fillId="2" borderId="29" xfId="6" applyFont="1" applyBorder="1" applyAlignment="1">
      <alignment horizontal="left" vertical="center" indent="2"/>
    </xf>
    <xf numFmtId="165" fontId="10" fillId="2" borderId="4" xfId="5" applyNumberFormat="1" applyFont="1" applyFill="1" applyBorder="1" applyAlignment="1">
      <alignment vertical="center"/>
    </xf>
    <xf numFmtId="165" fontId="10" fillId="2" borderId="30" xfId="5" applyNumberFormat="1" applyFont="1" applyFill="1" applyBorder="1" applyAlignment="1">
      <alignment vertical="center"/>
    </xf>
    <xf numFmtId="165" fontId="10" fillId="2" borderId="10" xfId="5" applyNumberFormat="1" applyFont="1" applyFill="1" applyBorder="1" applyAlignment="1">
      <alignment vertical="center"/>
    </xf>
    <xf numFmtId="0" fontId="10" fillId="2" borderId="23" xfId="6" applyFont="1" applyBorder="1" applyAlignment="1">
      <alignment horizontal="left" vertical="center" wrapText="1" indent="2"/>
    </xf>
    <xf numFmtId="0" fontId="10" fillId="2" borderId="23" xfId="6" applyFont="1" applyBorder="1" applyAlignment="1">
      <alignment horizontal="left" vertical="center" wrapText="1" indent="3"/>
    </xf>
    <xf numFmtId="0" fontId="10" fillId="2" borderId="10" xfId="6" applyFont="1" applyBorder="1" applyAlignment="1">
      <alignment vertical="center"/>
    </xf>
    <xf numFmtId="0" fontId="10" fillId="2" borderId="23" xfId="6" applyFont="1" applyBorder="1" applyAlignment="1">
      <alignment horizontal="left" vertical="center" indent="3"/>
    </xf>
    <xf numFmtId="165" fontId="10" fillId="2" borderId="45" xfId="5" applyNumberFormat="1" applyFont="1" applyFill="1" applyBorder="1" applyAlignment="1">
      <alignment vertical="center"/>
    </xf>
    <xf numFmtId="165" fontId="15" fillId="2" borderId="28" xfId="5" applyNumberFormat="1" applyFont="1" applyFill="1" applyBorder="1" applyAlignment="1">
      <alignment vertical="center"/>
    </xf>
    <xf numFmtId="165" fontId="1" fillId="2" borderId="0" xfId="6" applyNumberFormat="1"/>
    <xf numFmtId="0" fontId="14" fillId="2" borderId="0" xfId="6" applyFont="1"/>
    <xf numFmtId="0" fontId="15" fillId="3" borderId="116" xfId="6" applyFont="1" applyFill="1" applyBorder="1" applyAlignment="1">
      <alignment horizontal="left" vertical="center" indent="1"/>
    </xf>
    <xf numFmtId="0" fontId="10" fillId="2" borderId="62" xfId="6" applyFont="1" applyBorder="1" applyAlignment="1">
      <alignment vertical="center"/>
    </xf>
    <xf numFmtId="0" fontId="10" fillId="2" borderId="23" xfId="6" applyFont="1" applyBorder="1" applyAlignment="1">
      <alignment horizontal="left" vertical="center" wrapText="1" indent="2" readingOrder="1"/>
    </xf>
    <xf numFmtId="165" fontId="8" fillId="2" borderId="0" xfId="6" applyNumberFormat="1" applyFont="1"/>
    <xf numFmtId="0" fontId="12" fillId="2" borderId="0" xfId="6" applyFont="1"/>
    <xf numFmtId="0" fontId="10" fillId="3" borderId="0" xfId="6" applyFont="1" applyFill="1" applyAlignment="1">
      <alignment horizontal="left" vertical="center"/>
    </xf>
    <xf numFmtId="37" fontId="10" fillId="3" borderId="0" xfId="6" applyNumberFormat="1" applyFont="1" applyFill="1" applyAlignment="1">
      <alignment horizontal="center" vertical="center"/>
    </xf>
    <xf numFmtId="39" fontId="10" fillId="2" borderId="0" xfId="6" applyNumberFormat="1" applyFont="1" applyAlignment="1">
      <alignment vertical="center"/>
    </xf>
    <xf numFmtId="0" fontId="15" fillId="3" borderId="0" xfId="6" applyFont="1" applyFill="1" applyAlignment="1">
      <alignment horizontal="left" vertical="center"/>
    </xf>
    <xf numFmtId="0" fontId="24" fillId="2" borderId="0" xfId="6" applyFont="1"/>
    <xf numFmtId="43" fontId="10" fillId="2" borderId="36" xfId="5" applyFont="1" applyBorder="1" applyAlignment="1">
      <alignment vertical="center"/>
    </xf>
    <xf numFmtId="43" fontId="10" fillId="2" borderId="25" xfId="5" applyFont="1" applyBorder="1" applyAlignment="1"/>
    <xf numFmtId="43" fontId="1" fillId="2" borderId="0" xfId="6" applyNumberFormat="1"/>
    <xf numFmtId="165" fontId="21" fillId="2" borderId="50" xfId="5" applyNumberFormat="1" applyFont="1" applyBorder="1" applyAlignment="1">
      <alignment horizontal="right"/>
    </xf>
    <xf numFmtId="165" fontId="21" fillId="2" borderId="50" xfId="5" applyNumberFormat="1" applyFont="1" applyBorder="1" applyAlignment="1">
      <alignment horizontal="right" vertical="center"/>
    </xf>
    <xf numFmtId="165" fontId="21" fillId="2" borderId="141" xfId="5" applyNumberFormat="1" applyFont="1" applyBorder="1" applyAlignment="1">
      <alignment horizontal="right"/>
    </xf>
    <xf numFmtId="39" fontId="10" fillId="2" borderId="50" xfId="6" applyNumberFormat="1" applyFont="1" applyBorder="1" applyAlignment="1">
      <alignment vertical="center"/>
    </xf>
    <xf numFmtId="0" fontId="15" fillId="2" borderId="14" xfId="6" applyFont="1" applyBorder="1" applyAlignment="1">
      <alignment horizontal="center" vertical="center"/>
    </xf>
    <xf numFmtId="39" fontId="15" fillId="2" borderId="14" xfId="6" applyNumberFormat="1" applyFont="1" applyBorder="1" applyAlignment="1">
      <alignment vertical="center"/>
    </xf>
    <xf numFmtId="43" fontId="15" fillId="3" borderId="14" xfId="5" applyFont="1" applyFill="1" applyBorder="1" applyAlignment="1">
      <alignment vertical="center"/>
    </xf>
    <xf numFmtId="0" fontId="25" fillId="2" borderId="0" xfId="6" applyFont="1" applyAlignment="1">
      <alignment vertical="center"/>
    </xf>
    <xf numFmtId="0" fontId="10" fillId="3" borderId="23" xfId="6" applyFont="1" applyFill="1" applyBorder="1" applyAlignment="1">
      <alignment horizontal="left" vertical="center" wrapText="1" indent="2" readingOrder="1"/>
    </xf>
    <xf numFmtId="1" fontId="10" fillId="3" borderId="13" xfId="6" applyNumberFormat="1" applyFont="1" applyFill="1" applyBorder="1" applyAlignment="1">
      <alignment horizontal="center" vertical="center"/>
    </xf>
    <xf numFmtId="1" fontId="10" fillId="2" borderId="63" xfId="6" applyNumberFormat="1" applyFont="1" applyBorder="1" applyAlignment="1">
      <alignment horizontal="center" vertical="center"/>
    </xf>
    <xf numFmtId="0" fontId="10" fillId="2" borderId="63" xfId="6" applyFont="1" applyBorder="1" applyAlignment="1">
      <alignment vertical="center"/>
    </xf>
    <xf numFmtId="0" fontId="10" fillId="2" borderId="64" xfId="6" applyFont="1" applyBorder="1" applyAlignment="1">
      <alignment vertical="center"/>
    </xf>
    <xf numFmtId="0" fontId="21" fillId="3" borderId="29" xfId="6" applyFont="1" applyFill="1" applyBorder="1" applyAlignment="1">
      <alignment horizontal="left" indent="2"/>
    </xf>
    <xf numFmtId="1" fontId="21" fillId="3" borderId="9" xfId="6" applyNumberFormat="1" applyFont="1" applyFill="1" applyBorder="1" applyAlignment="1">
      <alignment horizontal="center"/>
    </xf>
    <xf numFmtId="0" fontId="21" fillId="3" borderId="29" xfId="6" applyFont="1" applyFill="1" applyBorder="1" applyAlignment="1">
      <alignment horizontal="left" wrapText="1" indent="3"/>
    </xf>
    <xf numFmtId="0" fontId="21" fillId="3" borderId="65" xfId="6" applyFont="1" applyFill="1" applyBorder="1" applyAlignment="1">
      <alignment horizontal="left" indent="3"/>
    </xf>
    <xf numFmtId="1" fontId="21" fillId="3" borderId="66" xfId="6" applyNumberFormat="1" applyFont="1" applyFill="1" applyBorder="1" applyAlignment="1">
      <alignment horizontal="center"/>
    </xf>
    <xf numFmtId="4" fontId="10" fillId="2" borderId="0" xfId="6" applyNumberFormat="1" applyFont="1"/>
    <xf numFmtId="4" fontId="10" fillId="2" borderId="33" xfId="6" applyNumberFormat="1" applyFont="1" applyBorder="1" applyAlignment="1">
      <alignment vertical="center"/>
    </xf>
    <xf numFmtId="4" fontId="10" fillId="2" borderId="11" xfId="6" applyNumberFormat="1" applyFont="1" applyBorder="1" applyAlignment="1">
      <alignment vertical="center"/>
    </xf>
    <xf numFmtId="0" fontId="10" fillId="2" borderId="29" xfId="6" applyFont="1" applyBorder="1" applyAlignment="1">
      <alignment horizontal="left" vertical="center" wrapText="1" indent="3"/>
    </xf>
    <xf numFmtId="0" fontId="10" fillId="2" borderId="29" xfId="6" applyFont="1" applyBorder="1" applyAlignment="1">
      <alignment horizontal="left" vertical="center" indent="3"/>
    </xf>
    <xf numFmtId="1" fontId="10" fillId="2" borderId="123" xfId="6" applyNumberFormat="1" applyFont="1" applyBorder="1" applyAlignment="1">
      <alignment horizontal="center" vertical="center"/>
    </xf>
    <xf numFmtId="43" fontId="10" fillId="2" borderId="129" xfId="5" applyFont="1" applyFill="1" applyBorder="1" applyAlignment="1">
      <alignment vertical="center"/>
    </xf>
    <xf numFmtId="1" fontId="10" fillId="2" borderId="66" xfId="6" applyNumberFormat="1" applyFont="1" applyBorder="1" applyAlignment="1">
      <alignment horizontal="center" vertical="center"/>
    </xf>
    <xf numFmtId="173" fontId="10" fillId="2" borderId="33" xfId="6" applyNumberFormat="1" applyFont="1" applyBorder="1" applyAlignment="1">
      <alignment vertical="center"/>
    </xf>
    <xf numFmtId="173" fontId="10" fillId="2" borderId="21" xfId="6" applyNumberFormat="1" applyFont="1" applyBorder="1" applyAlignment="1">
      <alignment vertical="center"/>
    </xf>
    <xf numFmtId="173" fontId="34" fillId="2" borderId="22" xfId="6" applyNumberFormat="1" applyFont="1" applyBorder="1" applyAlignment="1">
      <alignment vertical="center"/>
    </xf>
    <xf numFmtId="173" fontId="10" fillId="2" borderId="34" xfId="6" applyNumberFormat="1" applyFont="1" applyBorder="1" applyAlignment="1">
      <alignment vertical="center"/>
    </xf>
    <xf numFmtId="165" fontId="34" fillId="2" borderId="24" xfId="5" applyNumberFormat="1" applyFont="1" applyFill="1" applyBorder="1" applyAlignment="1">
      <alignment vertical="center"/>
    </xf>
    <xf numFmtId="43" fontId="34" fillId="2" borderId="24" xfId="5" applyFont="1" applyFill="1" applyBorder="1" applyAlignment="1">
      <alignment vertical="center"/>
    </xf>
    <xf numFmtId="0" fontId="10" fillId="2" borderId="23" xfId="6" applyFont="1" applyBorder="1" applyAlignment="1">
      <alignment horizontal="left" vertical="center" wrapText="1" indent="4"/>
    </xf>
    <xf numFmtId="0" fontId="15" fillId="2" borderId="19" xfId="6" applyFont="1" applyBorder="1" applyAlignment="1">
      <alignment horizontal="center" vertical="center"/>
    </xf>
    <xf numFmtId="39" fontId="15" fillId="2" borderId="19" xfId="6" applyNumberFormat="1" applyFont="1" applyBorder="1" applyAlignment="1">
      <alignment vertical="center"/>
    </xf>
    <xf numFmtId="43" fontId="15" fillId="2" borderId="19" xfId="5" applyFont="1" applyFill="1" applyBorder="1" applyAlignment="1">
      <alignment vertical="center"/>
    </xf>
    <xf numFmtId="0" fontId="15" fillId="2" borderId="116" xfId="6" applyFont="1" applyBorder="1" applyAlignment="1">
      <alignment horizontal="left" vertical="center" indent="1"/>
    </xf>
    <xf numFmtId="4" fontId="15" fillId="2" borderId="0" xfId="6" applyNumberFormat="1" applyFont="1" applyAlignment="1">
      <alignment vertical="center"/>
    </xf>
    <xf numFmtId="0" fontId="15" fillId="2" borderId="74" xfId="6" applyFont="1" applyBorder="1" applyAlignment="1">
      <alignment horizontal="center"/>
    </xf>
    <xf numFmtId="0" fontId="15" fillId="2" borderId="75" xfId="6" applyFont="1" applyBorder="1" applyAlignment="1">
      <alignment horizontal="center"/>
    </xf>
    <xf numFmtId="0" fontId="15" fillId="2" borderId="76" xfId="6" applyFont="1" applyBorder="1" applyAlignment="1">
      <alignment horizontal="left" vertical="center"/>
    </xf>
    <xf numFmtId="0" fontId="10" fillId="2" borderId="151" xfId="6" applyFont="1" applyBorder="1" applyAlignment="1">
      <alignment vertical="center"/>
    </xf>
    <xf numFmtId="0" fontId="15" fillId="2" borderId="77" xfId="6" applyFont="1" applyBorder="1" applyAlignment="1">
      <alignment horizontal="left" vertical="center"/>
    </xf>
    <xf numFmtId="0" fontId="10" fillId="2" borderId="152" xfId="6" applyFont="1" applyBorder="1" applyAlignment="1">
      <alignment vertical="center"/>
    </xf>
    <xf numFmtId="0" fontId="15" fillId="2" borderId="77" xfId="6" applyFont="1" applyBorder="1" applyAlignment="1">
      <alignment horizontal="left" vertical="center" indent="1"/>
    </xf>
    <xf numFmtId="39" fontId="10" fillId="2" borderId="152" xfId="6" applyNumberFormat="1" applyFont="1" applyBorder="1" applyAlignment="1">
      <alignment vertical="center"/>
    </xf>
    <xf numFmtId="0" fontId="10" fillId="2" borderId="77" xfId="6" applyFont="1" applyBorder="1" applyAlignment="1">
      <alignment horizontal="left" vertical="center" indent="2"/>
    </xf>
    <xf numFmtId="43" fontId="10" fillId="2" borderId="152" xfId="5" applyFont="1" applyFill="1" applyBorder="1" applyAlignment="1">
      <alignment vertical="center"/>
    </xf>
    <xf numFmtId="165" fontId="10" fillId="2" borderId="24" xfId="5" applyNumberFormat="1" applyFont="1" applyFill="1" applyBorder="1" applyAlignment="1">
      <alignment vertical="center"/>
    </xf>
    <xf numFmtId="165" fontId="10" fillId="2" borderId="152" xfId="5" applyNumberFormat="1" applyFont="1" applyFill="1" applyBorder="1" applyAlignment="1">
      <alignment vertical="center"/>
    </xf>
    <xf numFmtId="43" fontId="10" fillId="2" borderId="153" xfId="5" applyFont="1" applyFill="1" applyBorder="1" applyAlignment="1">
      <alignment vertical="center"/>
    </xf>
    <xf numFmtId="0" fontId="10" fillId="2" borderId="78" xfId="6" applyFont="1" applyBorder="1" applyAlignment="1">
      <alignment horizontal="left" vertical="center" indent="2"/>
    </xf>
    <xf numFmtId="43" fontId="10" fillId="2" borderId="96" xfId="5" applyFont="1" applyFill="1" applyBorder="1" applyAlignment="1">
      <alignment vertical="center"/>
    </xf>
    <xf numFmtId="43" fontId="10" fillId="2" borderId="154" xfId="5" applyFont="1" applyFill="1" applyBorder="1" applyAlignment="1">
      <alignment vertical="center"/>
    </xf>
    <xf numFmtId="0" fontId="15" fillId="2" borderId="155" xfId="6" applyFont="1" applyBorder="1" applyAlignment="1">
      <alignment horizontal="left" vertical="center" indent="1"/>
    </xf>
    <xf numFmtId="1" fontId="10" fillId="2" borderId="156" xfId="6" applyNumberFormat="1" applyFont="1" applyBorder="1" applyAlignment="1">
      <alignment horizontal="center" vertical="center"/>
    </xf>
    <xf numFmtId="43" fontId="10" fillId="2" borderId="157" xfId="5" applyFont="1" applyFill="1" applyBorder="1" applyAlignment="1">
      <alignment vertical="center"/>
    </xf>
    <xf numFmtId="0" fontId="10" fillId="2" borderId="81" xfId="6" applyFont="1" applyBorder="1" applyAlignment="1">
      <alignment horizontal="left" vertical="center" indent="2"/>
    </xf>
    <xf numFmtId="43" fontId="10" fillId="2" borderId="115" xfId="5" applyFont="1" applyFill="1" applyBorder="1" applyAlignment="1">
      <alignment vertical="center"/>
    </xf>
    <xf numFmtId="43" fontId="10" fillId="2" borderId="158" xfId="5" applyFont="1" applyFill="1" applyBorder="1" applyAlignment="1">
      <alignment vertical="center"/>
    </xf>
    <xf numFmtId="0" fontId="15" fillId="2" borderId="79" xfId="6" applyFont="1" applyBorder="1" applyAlignment="1">
      <alignment horizontal="center" vertical="center"/>
    </xf>
    <xf numFmtId="43" fontId="15" fillId="2" borderId="159" xfId="5" applyFont="1" applyFill="1" applyBorder="1" applyAlignment="1">
      <alignment vertical="center"/>
    </xf>
    <xf numFmtId="0" fontId="22" fillId="2" borderId="76" xfId="6" applyFont="1" applyBorder="1" applyAlignment="1">
      <alignment horizontal="left"/>
    </xf>
    <xf numFmtId="1" fontId="26" fillId="2" borderId="80" xfId="6" applyNumberFormat="1" applyFont="1" applyBorder="1" applyAlignment="1">
      <alignment horizontal="center"/>
    </xf>
    <xf numFmtId="43" fontId="26" fillId="2" borderId="21" xfId="5" applyFont="1" applyFill="1" applyBorder="1" applyAlignment="1"/>
    <xf numFmtId="43" fontId="26" fillId="2" borderId="22" xfId="5" applyFont="1" applyFill="1" applyBorder="1" applyAlignment="1"/>
    <xf numFmtId="43" fontId="26" fillId="2" borderId="160" xfId="5" applyFont="1" applyFill="1" applyBorder="1" applyAlignment="1">
      <alignment horizontal="right"/>
    </xf>
    <xf numFmtId="0" fontId="21" fillId="2" borderId="81" xfId="6" applyFont="1" applyBorder="1" applyAlignment="1">
      <alignment horizontal="left" vertical="center" indent="2"/>
    </xf>
    <xf numFmtId="1" fontId="21" fillId="2" borderId="11" xfId="6" applyNumberFormat="1" applyFont="1" applyBorder="1" applyAlignment="1">
      <alignment horizontal="center"/>
    </xf>
    <xf numFmtId="165" fontId="21" fillId="2" borderId="11" xfId="5" applyNumberFormat="1" applyFont="1" applyFill="1" applyBorder="1" applyAlignment="1"/>
    <xf numFmtId="43" fontId="21" fillId="2" borderId="30" xfId="5" applyFont="1" applyFill="1" applyBorder="1" applyAlignment="1">
      <alignment horizontal="right"/>
    </xf>
    <xf numFmtId="43" fontId="21" fillId="2" borderId="160" xfId="5" applyFont="1" applyFill="1" applyBorder="1" applyAlignment="1">
      <alignment horizontal="right"/>
    </xf>
    <xf numFmtId="43" fontId="21" fillId="2" borderId="11" xfId="5" applyFont="1" applyFill="1" applyBorder="1" applyAlignment="1">
      <alignment horizontal="right"/>
    </xf>
    <xf numFmtId="0" fontId="21" fillId="2" borderId="81" xfId="6" applyFont="1" applyBorder="1" applyAlignment="1">
      <alignment horizontal="left" vertical="center" wrapText="1" indent="2"/>
    </xf>
    <xf numFmtId="1" fontId="21" fillId="2" borderId="11" xfId="6" applyNumberFormat="1" applyFont="1" applyBorder="1" applyAlignment="1">
      <alignment horizontal="center" vertical="center"/>
    </xf>
    <xf numFmtId="43" fontId="21" fillId="2" borderId="11" xfId="5" applyFont="1" applyFill="1" applyBorder="1" applyAlignment="1">
      <alignment horizontal="right" vertical="center"/>
    </xf>
    <xf numFmtId="165" fontId="21" fillId="2" borderId="30" xfId="5" applyNumberFormat="1" applyFont="1" applyFill="1" applyBorder="1" applyAlignment="1">
      <alignment horizontal="right" vertical="center"/>
    </xf>
    <xf numFmtId="165" fontId="21" fillId="2" borderId="160" xfId="5" applyNumberFormat="1" applyFont="1" applyFill="1" applyBorder="1" applyAlignment="1">
      <alignment horizontal="right" vertical="center"/>
    </xf>
    <xf numFmtId="43" fontId="21" fillId="2" borderId="11" xfId="5" applyFont="1" applyFill="1" applyBorder="1" applyAlignment="1"/>
    <xf numFmtId="43" fontId="21" fillId="2" borderId="30" xfId="5" applyFont="1" applyFill="1" applyBorder="1" applyAlignment="1"/>
    <xf numFmtId="43" fontId="21" fillId="2" borderId="160" xfId="5" applyFont="1" applyFill="1" applyBorder="1" applyAlignment="1"/>
    <xf numFmtId="0" fontId="10" fillId="2" borderId="77" xfId="6" applyFont="1" applyBorder="1" applyAlignment="1">
      <alignment horizontal="left" vertical="center" indent="3"/>
    </xf>
    <xf numFmtId="165" fontId="21" fillId="2" borderId="11" xfId="5" applyNumberFormat="1" applyFont="1" applyFill="1" applyBorder="1" applyAlignment="1">
      <alignment vertical="center"/>
    </xf>
    <xf numFmtId="165" fontId="21" fillId="2" borderId="24" xfId="5" applyNumberFormat="1" applyFont="1" applyFill="1" applyBorder="1" applyAlignment="1">
      <alignment vertical="center"/>
    </xf>
    <xf numFmtId="0" fontId="21" fillId="2" borderId="81" xfId="6" applyFont="1" applyBorder="1" applyAlignment="1">
      <alignment horizontal="left" vertical="center" wrapText="1" indent="3"/>
    </xf>
    <xf numFmtId="1" fontId="26" fillId="2" borderId="66" xfId="6" applyNumberFormat="1" applyFont="1" applyBorder="1" applyAlignment="1">
      <alignment horizontal="center"/>
    </xf>
    <xf numFmtId="43" fontId="21" fillId="2" borderId="66" xfId="5" applyFont="1" applyFill="1" applyBorder="1" applyAlignment="1">
      <alignment horizontal="right" vertical="center"/>
    </xf>
    <xf numFmtId="43" fontId="21" fillId="2" borderId="30" xfId="5" applyFont="1" applyFill="1" applyBorder="1" applyAlignment="1">
      <alignment horizontal="right" vertical="center"/>
    </xf>
    <xf numFmtId="43" fontId="21" fillId="2" borderId="160" xfId="5" applyFont="1" applyFill="1" applyBorder="1" applyAlignment="1">
      <alignment horizontal="right" vertical="center"/>
    </xf>
    <xf numFmtId="1" fontId="26" fillId="2" borderId="9" xfId="6" applyNumberFormat="1" applyFont="1" applyBorder="1" applyAlignment="1">
      <alignment horizontal="center"/>
    </xf>
    <xf numFmtId="43" fontId="21" fillId="2" borderId="9" xfId="5" applyFont="1" applyFill="1" applyBorder="1" applyAlignment="1">
      <alignment horizontal="right" vertical="center"/>
    </xf>
    <xf numFmtId="0" fontId="21" fillId="2" borderId="77" xfId="6" applyFont="1" applyBorder="1" applyAlignment="1">
      <alignment horizontal="left" vertical="center" wrapText="1" indent="3" readingOrder="1"/>
    </xf>
    <xf numFmtId="39" fontId="22" fillId="2" borderId="11" xfId="6" applyNumberFormat="1" applyFont="1" applyBorder="1"/>
    <xf numFmtId="165" fontId="21" fillId="2" borderId="9" xfId="5" applyNumberFormat="1" applyFont="1" applyFill="1" applyBorder="1" applyAlignment="1">
      <alignment horizontal="right"/>
    </xf>
    <xf numFmtId="165" fontId="21" fillId="2" borderId="62" xfId="5" applyNumberFormat="1" applyFont="1" applyFill="1" applyBorder="1" applyAlignment="1">
      <alignment horizontal="right"/>
    </xf>
    <xf numFmtId="43" fontId="21" fillId="2" borderId="153" xfId="5" applyFont="1" applyFill="1" applyBorder="1" applyAlignment="1">
      <alignment vertical="center"/>
    </xf>
    <xf numFmtId="1" fontId="26" fillId="2" borderId="11" xfId="6" applyNumberFormat="1" applyFont="1" applyBorder="1" applyAlignment="1">
      <alignment horizontal="center"/>
    </xf>
    <xf numFmtId="165" fontId="21" fillId="2" borderId="160" xfId="5" applyNumberFormat="1" applyFont="1" applyFill="1" applyBorder="1" applyAlignment="1">
      <alignment horizontal="right"/>
    </xf>
    <xf numFmtId="0" fontId="22" fillId="2" borderId="79" xfId="6" applyFont="1" applyBorder="1" applyAlignment="1">
      <alignment horizontal="center"/>
    </xf>
    <xf numFmtId="39" fontId="22" fillId="2" borderId="60" xfId="6" applyNumberFormat="1" applyFont="1" applyBorder="1"/>
    <xf numFmtId="43" fontId="22" fillId="2" borderId="60" xfId="5" applyFont="1" applyFill="1" applyBorder="1" applyAlignment="1">
      <alignment horizontal="right"/>
    </xf>
    <xf numFmtId="43" fontId="22" fillId="2" borderId="159" xfId="5" applyFont="1" applyFill="1" applyBorder="1" applyAlignment="1">
      <alignment horizontal="right"/>
    </xf>
    <xf numFmtId="0" fontId="22" fillId="2" borderId="81" xfId="6" applyFont="1" applyBorder="1" applyAlignment="1">
      <alignment horizontal="left"/>
    </xf>
    <xf numFmtId="0" fontId="21" fillId="2" borderId="5" xfId="6" applyFont="1" applyBorder="1" applyAlignment="1">
      <alignment horizontal="center"/>
    </xf>
    <xf numFmtId="43" fontId="21" fillId="2" borderId="4" xfId="5" applyFont="1" applyFill="1" applyBorder="1" applyAlignment="1"/>
    <xf numFmtId="43" fontId="21" fillId="2" borderId="22" xfId="5" applyFont="1" applyFill="1" applyBorder="1" applyAlignment="1"/>
    <xf numFmtId="37" fontId="21" fillId="2" borderId="5" xfId="6" applyNumberFormat="1" applyFont="1" applyBorder="1" applyAlignment="1">
      <alignment horizontal="center"/>
    </xf>
    <xf numFmtId="165" fontId="21" fillId="2" borderId="0" xfId="5" applyNumberFormat="1" applyFont="1" applyFill="1" applyBorder="1" applyAlignment="1">
      <alignment horizontal="right"/>
    </xf>
    <xf numFmtId="165" fontId="21" fillId="2" borderId="9" xfId="5" applyNumberFormat="1" applyFont="1" applyFill="1" applyBorder="1" applyAlignment="1">
      <alignment horizontal="right" vertical="center"/>
    </xf>
    <xf numFmtId="165" fontId="21" fillId="2" borderId="13" xfId="5" applyNumberFormat="1" applyFont="1" applyFill="1" applyBorder="1" applyAlignment="1">
      <alignment horizontal="right" vertical="center"/>
    </xf>
    <xf numFmtId="165" fontId="22" fillId="2" borderId="60" xfId="5" applyNumberFormat="1" applyFont="1" applyFill="1" applyBorder="1" applyAlignment="1">
      <alignment horizontal="right"/>
    </xf>
    <xf numFmtId="0" fontId="22" fillId="2" borderId="82" xfId="6" applyFont="1" applyBorder="1" applyAlignment="1">
      <alignment horizontal="center"/>
    </xf>
    <xf numFmtId="39" fontId="22" fillId="2" borderId="35" xfId="6" applyNumberFormat="1" applyFont="1" applyBorder="1"/>
    <xf numFmtId="40" fontId="22" fillId="2" borderId="35" xfId="6" applyNumberFormat="1" applyFont="1" applyBorder="1" applyAlignment="1">
      <alignment horizontal="right"/>
    </xf>
    <xf numFmtId="40" fontId="22" fillId="2" borderId="36" xfId="6" applyNumberFormat="1" applyFont="1" applyBorder="1" applyAlignment="1">
      <alignment horizontal="right"/>
    </xf>
    <xf numFmtId="40" fontId="22" fillId="2" borderId="161" xfId="6" applyNumberFormat="1" applyFont="1" applyBorder="1" applyAlignment="1">
      <alignment horizontal="right"/>
    </xf>
    <xf numFmtId="0" fontId="22" fillId="2" borderId="83" xfId="6" applyFont="1" applyBorder="1" applyAlignment="1">
      <alignment horizontal="left"/>
    </xf>
    <xf numFmtId="39" fontId="22" fillId="2" borderId="84" xfId="6" applyNumberFormat="1" applyFont="1" applyBorder="1"/>
    <xf numFmtId="40" fontId="22" fillId="2" borderId="84" xfId="6" applyNumberFormat="1" applyFont="1" applyBorder="1" applyAlignment="1">
      <alignment horizontal="right"/>
    </xf>
    <xf numFmtId="40" fontId="22" fillId="2" borderId="162" xfId="6" applyNumberFormat="1" applyFont="1" applyBorder="1" applyAlignment="1">
      <alignment horizontal="right"/>
    </xf>
    <xf numFmtId="40" fontId="22" fillId="2" borderId="163" xfId="6" applyNumberFormat="1" applyFont="1" applyBorder="1" applyAlignment="1">
      <alignment horizontal="right"/>
    </xf>
    <xf numFmtId="0" fontId="27" fillId="2" borderId="77" xfId="6" applyFont="1" applyBorder="1" applyAlignment="1">
      <alignment horizontal="left" wrapText="1"/>
    </xf>
    <xf numFmtId="39" fontId="21" fillId="2" borderId="11" xfId="6" applyNumberFormat="1" applyFont="1" applyBorder="1"/>
    <xf numFmtId="43" fontId="22" fillId="2" borderId="11" xfId="5" applyFont="1" applyFill="1" applyBorder="1" applyAlignment="1">
      <alignment horizontal="right"/>
    </xf>
    <xf numFmtId="43" fontId="22" fillId="2" borderId="24" xfId="5" applyFont="1" applyFill="1" applyBorder="1" applyAlignment="1">
      <alignment horizontal="right"/>
    </xf>
    <xf numFmtId="43" fontId="22" fillId="2" borderId="153" xfId="5" applyFont="1" applyFill="1" applyBorder="1" applyAlignment="1">
      <alignment horizontal="right"/>
    </xf>
    <xf numFmtId="39" fontId="22" fillId="2" borderId="28" xfId="6" applyNumberFormat="1" applyFont="1" applyBorder="1"/>
    <xf numFmtId="39" fontId="22" fillId="2" borderId="159" xfId="6" applyNumberFormat="1" applyFont="1" applyBorder="1"/>
    <xf numFmtId="0" fontId="22" fillId="2" borderId="85" xfId="6" applyFont="1" applyBorder="1" applyAlignment="1">
      <alignment horizontal="center"/>
    </xf>
    <xf numFmtId="0" fontId="22" fillId="2" borderId="86" xfId="6" applyFont="1" applyBorder="1"/>
    <xf numFmtId="43" fontId="22" fillId="2" borderId="86" xfId="5" applyFont="1" applyFill="1" applyBorder="1" applyAlignment="1">
      <alignment horizontal="right"/>
    </xf>
    <xf numFmtId="43" fontId="22" fillId="2" borderId="164" xfId="5" applyFont="1" applyFill="1" applyBorder="1" applyAlignment="1">
      <alignment horizontal="right"/>
    </xf>
    <xf numFmtId="43" fontId="22" fillId="2" borderId="0" xfId="5" applyFont="1" applyFill="1" applyBorder="1" applyAlignment="1">
      <alignment horizontal="right"/>
    </xf>
    <xf numFmtId="176" fontId="1" fillId="2" borderId="0" xfId="6" applyNumberFormat="1"/>
    <xf numFmtId="0" fontId="26" fillId="2" borderId="0" xfId="6" applyFont="1"/>
    <xf numFmtId="4" fontId="26" fillId="2" borderId="0" xfId="6" applyNumberFormat="1" applyFont="1"/>
    <xf numFmtId="0" fontId="18" fillId="2" borderId="0" xfId="6" applyFont="1"/>
    <xf numFmtId="0" fontId="28" fillId="2" borderId="0" xfId="6" applyFont="1" applyAlignment="1">
      <alignment horizontal="center"/>
    </xf>
    <xf numFmtId="4" fontId="21" fillId="2" borderId="0" xfId="6" applyNumberFormat="1" applyFont="1" applyAlignment="1">
      <alignment horizontal="center"/>
    </xf>
    <xf numFmtId="0" fontId="21" fillId="2" borderId="33" xfId="6" applyFont="1" applyBorder="1" applyAlignment="1">
      <alignment vertical="center"/>
    </xf>
    <xf numFmtId="39" fontId="21" fillId="2" borderId="10" xfId="6" applyNumberFormat="1" applyFont="1" applyBorder="1" applyAlignment="1">
      <alignment vertical="center"/>
    </xf>
    <xf numFmtId="39" fontId="21" fillId="2" borderId="11" xfId="6" applyNumberFormat="1" applyFont="1" applyBorder="1" applyAlignment="1">
      <alignment vertical="center"/>
    </xf>
    <xf numFmtId="39" fontId="21" fillId="2" borderId="24" xfId="6" applyNumberFormat="1" applyFont="1" applyBorder="1" applyAlignment="1">
      <alignment vertical="center"/>
    </xf>
    <xf numFmtId="43" fontId="21" fillId="2" borderId="11" xfId="5" applyFont="1" applyBorder="1" applyAlignment="1">
      <alignment vertical="center"/>
    </xf>
    <xf numFmtId="43" fontId="21" fillId="4" borderId="25" xfId="5" applyFont="1" applyFill="1" applyBorder="1" applyAlignment="1">
      <alignment vertical="center"/>
    </xf>
    <xf numFmtId="167" fontId="21" fillId="2" borderId="11" xfId="5" applyNumberFormat="1" applyFont="1" applyFill="1" applyBorder="1" applyAlignment="1">
      <alignment vertical="center"/>
    </xf>
    <xf numFmtId="43" fontId="21" fillId="2" borderId="25" xfId="5" applyFont="1" applyFill="1" applyBorder="1" applyAlignment="1">
      <alignment vertical="center"/>
    </xf>
    <xf numFmtId="167" fontId="21" fillId="2" borderId="11" xfId="5" applyNumberFormat="1" applyFont="1" applyBorder="1" applyAlignment="1">
      <alignment vertical="center"/>
    </xf>
    <xf numFmtId="43" fontId="10" fillId="4" borderId="49" xfId="5" applyFont="1" applyFill="1" applyBorder="1"/>
    <xf numFmtId="43" fontId="10" fillId="4" borderId="114" xfId="5" applyFont="1" applyFill="1" applyBorder="1"/>
    <xf numFmtId="43" fontId="10" fillId="4" borderId="52" xfId="5" applyFont="1" applyFill="1" applyBorder="1"/>
    <xf numFmtId="0" fontId="21" fillId="3" borderId="26" xfId="6" applyFont="1" applyFill="1" applyBorder="1" applyAlignment="1">
      <alignment horizontal="left" vertical="center" indent="2"/>
    </xf>
    <xf numFmtId="1" fontId="21" fillId="3" borderId="1" xfId="6" applyNumberFormat="1" applyFont="1" applyFill="1" applyBorder="1" applyAlignment="1">
      <alignment horizontal="center" vertical="center"/>
    </xf>
    <xf numFmtId="43" fontId="21" fillId="2" borderId="8" xfId="5" applyFont="1" applyBorder="1" applyAlignment="1">
      <alignment vertical="center"/>
    </xf>
    <xf numFmtId="43" fontId="21" fillId="4" borderId="47" xfId="5" applyFont="1" applyFill="1" applyBorder="1" applyAlignment="1">
      <alignment vertical="center"/>
    </xf>
    <xf numFmtId="1" fontId="21" fillId="3" borderId="130" xfId="6" applyNumberFormat="1" applyFont="1" applyFill="1" applyBorder="1" applyAlignment="1">
      <alignment horizontal="center" vertical="center"/>
    </xf>
    <xf numFmtId="43" fontId="21" fillId="2" borderId="55" xfId="5" applyFont="1" applyBorder="1" applyAlignment="1">
      <alignment vertical="center"/>
    </xf>
    <xf numFmtId="43" fontId="21" fillId="4" borderId="129" xfId="5" applyFont="1" applyFill="1" applyBorder="1" applyAlignment="1">
      <alignment vertical="center"/>
    </xf>
    <xf numFmtId="43" fontId="21" fillId="4" borderId="88" xfId="5" applyFont="1" applyFill="1" applyBorder="1" applyAlignment="1">
      <alignment vertical="center"/>
    </xf>
    <xf numFmtId="43" fontId="22" fillId="3" borderId="28" xfId="5" applyFont="1" applyFill="1" applyBorder="1" applyAlignment="1">
      <alignment vertical="center"/>
    </xf>
    <xf numFmtId="43" fontId="22" fillId="2" borderId="28" xfId="5" applyFont="1" applyFill="1" applyBorder="1" applyAlignment="1">
      <alignment vertical="center"/>
    </xf>
    <xf numFmtId="43" fontId="10" fillId="4" borderId="25" xfId="5" applyFont="1" applyFill="1" applyBorder="1" applyAlignment="1">
      <alignment vertical="center"/>
    </xf>
    <xf numFmtId="167" fontId="10" fillId="3" borderId="10" xfId="5" applyNumberFormat="1" applyFont="1" applyFill="1" applyBorder="1" applyAlignment="1">
      <alignment vertical="center"/>
    </xf>
    <xf numFmtId="1" fontId="21" fillId="2" borderId="6" xfId="6" applyNumberFormat="1" applyFont="1" applyBorder="1" applyAlignment="1">
      <alignment horizontal="center" vertical="center"/>
    </xf>
    <xf numFmtId="43" fontId="21" fillId="2" borderId="6" xfId="5" applyFont="1" applyBorder="1" applyAlignment="1">
      <alignment horizontal="right" vertical="center"/>
    </xf>
    <xf numFmtId="167" fontId="15" fillId="3" borderId="28" xfId="5" applyNumberFormat="1" applyFont="1" applyFill="1" applyBorder="1" applyAlignment="1">
      <alignment vertical="center"/>
    </xf>
    <xf numFmtId="40" fontId="15" fillId="2" borderId="28" xfId="6" applyNumberFormat="1" applyFont="1" applyBorder="1" applyAlignment="1">
      <alignment vertical="center"/>
    </xf>
    <xf numFmtId="0" fontId="15" fillId="2" borderId="15" xfId="6" applyFont="1" applyBorder="1" applyAlignment="1">
      <alignment horizontal="center" vertical="center"/>
    </xf>
    <xf numFmtId="40" fontId="15" fillId="3" borderId="33" xfId="6" applyNumberFormat="1" applyFont="1" applyFill="1" applyBorder="1" applyAlignment="1">
      <alignment vertical="center"/>
    </xf>
    <xf numFmtId="40" fontId="15" fillId="3" borderId="17" xfId="6" applyNumberFormat="1" applyFont="1" applyFill="1" applyBorder="1" applyAlignment="1">
      <alignment vertical="center"/>
    </xf>
    <xf numFmtId="40" fontId="15" fillId="3" borderId="11" xfId="6" applyNumberFormat="1" applyFont="1" applyFill="1" applyBorder="1" applyAlignment="1">
      <alignment vertical="center"/>
    </xf>
    <xf numFmtId="40" fontId="15" fillId="3" borderId="24" xfId="6" applyNumberFormat="1" applyFont="1" applyFill="1" applyBorder="1" applyAlignment="1">
      <alignment vertical="center"/>
    </xf>
    <xf numFmtId="0" fontId="29" fillId="2" borderId="23" xfId="6" applyFont="1" applyBorder="1" applyAlignment="1">
      <alignment horizontal="left" vertical="center" wrapText="1" indent="1"/>
    </xf>
    <xf numFmtId="40" fontId="15" fillId="3" borderId="4" xfId="6" applyNumberFormat="1" applyFont="1" applyFill="1" applyBorder="1" applyAlignment="1">
      <alignment vertical="center"/>
    </xf>
    <xf numFmtId="40" fontId="15" fillId="3" borderId="62" xfId="6" applyNumberFormat="1" applyFont="1" applyFill="1" applyBorder="1" applyAlignment="1">
      <alignment vertical="center"/>
    </xf>
    <xf numFmtId="0" fontId="10" fillId="2" borderId="29" xfId="6" applyFont="1" applyBorder="1" applyAlignment="1">
      <alignment horizontal="left" vertical="center" wrapText="1" indent="2"/>
    </xf>
    <xf numFmtId="39" fontId="10" fillId="2" borderId="11" xfId="6" applyNumberFormat="1" applyFont="1" applyBorder="1" applyAlignment="1">
      <alignment horizontal="center" vertical="center"/>
    </xf>
    <xf numFmtId="40" fontId="10" fillId="3" borderId="11" xfId="6" applyNumberFormat="1" applyFont="1" applyFill="1" applyBorder="1" applyAlignment="1">
      <alignment vertical="center"/>
    </xf>
    <xf numFmtId="40" fontId="10" fillId="3" borderId="4" xfId="6" applyNumberFormat="1" applyFont="1" applyFill="1" applyBorder="1" applyAlignment="1">
      <alignment vertical="center"/>
    </xf>
    <xf numFmtId="40" fontId="10" fillId="3" borderId="62" xfId="6" applyNumberFormat="1" applyFont="1" applyFill="1" applyBorder="1" applyAlignment="1">
      <alignment vertical="center"/>
    </xf>
    <xf numFmtId="39" fontId="15" fillId="2" borderId="8" xfId="6" applyNumberFormat="1" applyFont="1" applyBorder="1" applyAlignment="1">
      <alignment vertical="center"/>
    </xf>
    <xf numFmtId="43" fontId="10" fillId="4" borderId="40" xfId="5" applyFont="1" applyFill="1" applyBorder="1" applyAlignment="1">
      <alignment vertical="center"/>
    </xf>
    <xf numFmtId="0" fontId="15" fillId="2" borderId="0" xfId="6" applyFont="1" applyAlignment="1">
      <alignment horizontal="left" vertical="center" wrapText="1" indent="4"/>
    </xf>
    <xf numFmtId="0" fontId="10" fillId="2" borderId="0" xfId="6" applyFont="1" applyAlignment="1">
      <alignment horizontal="left" indent="8"/>
    </xf>
    <xf numFmtId="2" fontId="1" fillId="2" borderId="0" xfId="6" applyNumberFormat="1"/>
    <xf numFmtId="1" fontId="10" fillId="3" borderId="7" xfId="6" applyNumberFormat="1" applyFont="1" applyFill="1" applyBorder="1" applyAlignment="1">
      <alignment horizontal="center" vertical="center"/>
    </xf>
    <xf numFmtId="1" fontId="10" fillId="3" borderId="27" xfId="6" applyNumberFormat="1" applyFont="1" applyFill="1" applyBorder="1" applyAlignment="1">
      <alignment horizontal="center" vertical="center"/>
    </xf>
    <xf numFmtId="165" fontId="10" fillId="2" borderId="88" xfId="5" applyNumberFormat="1" applyFont="1" applyBorder="1" applyAlignment="1">
      <alignment vertical="center"/>
    </xf>
    <xf numFmtId="43" fontId="10" fillId="2" borderId="0" xfId="6" applyNumberFormat="1" applyFont="1"/>
    <xf numFmtId="0" fontId="10" fillId="2" borderId="11" xfId="6" applyFont="1" applyBorder="1" applyAlignment="1">
      <alignment horizontal="center" vertical="center"/>
    </xf>
    <xf numFmtId="1" fontId="10" fillId="3" borderId="8" xfId="6" applyNumberFormat="1" applyFont="1" applyFill="1" applyBorder="1" applyAlignment="1">
      <alignment horizontal="center" vertical="center"/>
    </xf>
    <xf numFmtId="1" fontId="10" fillId="3" borderId="130" xfId="6" applyNumberFormat="1" applyFont="1" applyFill="1" applyBorder="1" applyAlignment="1">
      <alignment horizontal="center" vertical="center"/>
    </xf>
    <xf numFmtId="165" fontId="10" fillId="2" borderId="96" xfId="5" applyNumberFormat="1" applyFont="1" applyBorder="1" applyAlignment="1">
      <alignment vertical="center"/>
    </xf>
    <xf numFmtId="1" fontId="10" fillId="3" borderId="9" xfId="6" applyNumberFormat="1" applyFont="1" applyFill="1" applyBorder="1" applyAlignment="1">
      <alignment horizontal="center" vertical="center"/>
    </xf>
    <xf numFmtId="165" fontId="10" fillId="2" borderId="165" xfId="5" applyNumberFormat="1" applyFont="1" applyBorder="1" applyAlignment="1">
      <alignment vertical="center"/>
    </xf>
    <xf numFmtId="165" fontId="10" fillId="2" borderId="21" xfId="5" applyNumberFormat="1" applyFont="1" applyBorder="1" applyAlignment="1">
      <alignment vertical="center"/>
    </xf>
    <xf numFmtId="165" fontId="10" fillId="2" borderId="33" xfId="5" applyNumberFormat="1" applyFont="1" applyBorder="1" applyAlignment="1">
      <alignment vertical="center"/>
    </xf>
    <xf numFmtId="0" fontId="15" fillId="2" borderId="90" xfId="6" applyFont="1" applyBorder="1" applyAlignment="1">
      <alignment horizontal="center" vertical="center"/>
    </xf>
    <xf numFmtId="39" fontId="15" fillId="2" borderId="90" xfId="6" applyNumberFormat="1" applyFont="1" applyBorder="1" applyAlignment="1">
      <alignment vertical="center"/>
    </xf>
    <xf numFmtId="165" fontId="15" fillId="3" borderId="90" xfId="5" applyNumberFormat="1" applyFont="1" applyFill="1" applyBorder="1" applyAlignment="1">
      <alignment vertical="center"/>
    </xf>
    <xf numFmtId="0" fontId="15" fillId="2" borderId="0" xfId="6" applyFont="1" applyAlignment="1">
      <alignment horizontal="left" indent="4"/>
    </xf>
    <xf numFmtId="0" fontId="10" fillId="3" borderId="0" xfId="6" applyFont="1" applyFill="1" applyAlignment="1">
      <alignment horizontal="left" indent="4"/>
    </xf>
    <xf numFmtId="0" fontId="15" fillId="3" borderId="0" xfId="6" applyFont="1" applyFill="1"/>
    <xf numFmtId="43" fontId="10" fillId="2" borderId="22" xfId="5" applyFont="1" applyBorder="1" applyAlignment="1">
      <alignment horizontal="center" vertical="center"/>
    </xf>
    <xf numFmtId="0" fontId="10" fillId="2" borderId="26" xfId="6" applyFont="1" applyBorder="1" applyAlignment="1">
      <alignment horizontal="left" vertical="center" wrapText="1" indent="2"/>
    </xf>
    <xf numFmtId="0" fontId="10" fillId="3" borderId="26" xfId="6" applyFont="1" applyFill="1" applyBorder="1" applyAlignment="1">
      <alignment horizontal="left" vertical="center" wrapText="1" indent="3"/>
    </xf>
    <xf numFmtId="1" fontId="10" fillId="2" borderId="3" xfId="6" applyNumberFormat="1" applyFont="1" applyBorder="1" applyAlignment="1">
      <alignment horizontal="center" vertical="center"/>
    </xf>
    <xf numFmtId="0" fontId="15" fillId="3" borderId="53" xfId="6" applyFont="1" applyFill="1" applyBorder="1" applyAlignment="1">
      <alignment horizontal="center"/>
    </xf>
    <xf numFmtId="0" fontId="15" fillId="3" borderId="33" xfId="6" applyFont="1" applyFill="1" applyBorder="1" applyAlignment="1">
      <alignment horizontal="center"/>
    </xf>
    <xf numFmtId="0" fontId="10" fillId="3" borderId="91" xfId="6" applyFont="1" applyFill="1" applyBorder="1" applyAlignment="1">
      <alignment horizontal="left" vertical="center" wrapText="1" indent="2"/>
    </xf>
    <xf numFmtId="43" fontId="1" fillId="2" borderId="0" xfId="6" applyNumberFormat="1" applyAlignment="1">
      <alignment wrapText="1"/>
    </xf>
    <xf numFmtId="0" fontId="10" fillId="2" borderId="91" xfId="6" applyFont="1" applyBorder="1" applyAlignment="1">
      <alignment horizontal="left" vertical="center" indent="2"/>
    </xf>
    <xf numFmtId="0" fontId="10" fillId="3" borderId="11" xfId="6" applyFont="1" applyFill="1" applyBorder="1" applyAlignment="1">
      <alignment vertical="center"/>
    </xf>
    <xf numFmtId="0" fontId="10" fillId="3" borderId="23" xfId="6" applyFont="1" applyFill="1" applyBorder="1" applyAlignment="1">
      <alignment horizontal="left" vertical="center" wrapText="1" indent="3"/>
    </xf>
    <xf numFmtId="39" fontId="15" fillId="2" borderId="0" xfId="6" applyNumberFormat="1" applyFont="1" applyAlignment="1">
      <alignment vertical="center"/>
    </xf>
    <xf numFmtId="40" fontId="15" fillId="3" borderId="0" xfId="6" applyNumberFormat="1" applyFont="1" applyFill="1" applyAlignment="1">
      <alignment vertical="center"/>
    </xf>
    <xf numFmtId="165" fontId="10" fillId="2" borderId="49" xfId="5" applyNumberFormat="1" applyFont="1" applyBorder="1" applyAlignment="1"/>
    <xf numFmtId="165" fontId="10" fillId="2" borderId="48" xfId="5" applyNumberFormat="1" applyFont="1" applyBorder="1" applyAlignment="1">
      <alignment vertical="center"/>
    </xf>
    <xf numFmtId="165" fontId="10" fillId="2" borderId="62" xfId="5" applyNumberFormat="1" applyFont="1" applyBorder="1" applyAlignment="1">
      <alignment vertical="center"/>
    </xf>
    <xf numFmtId="165" fontId="15" fillId="3" borderId="33" xfId="5" applyNumberFormat="1" applyFont="1" applyFill="1" applyBorder="1" applyAlignment="1">
      <alignment vertical="center"/>
    </xf>
    <xf numFmtId="165" fontId="15" fillId="3" borderId="22" xfId="5" applyNumberFormat="1" applyFont="1" applyFill="1" applyBorder="1" applyAlignment="1">
      <alignment vertical="center"/>
    </xf>
    <xf numFmtId="165" fontId="15" fillId="3" borderId="34" xfId="5" applyNumberFormat="1" applyFont="1" applyFill="1" applyBorder="1" applyAlignment="1">
      <alignment vertical="center"/>
    </xf>
    <xf numFmtId="165" fontId="10" fillId="3" borderId="93" xfId="5" applyNumberFormat="1" applyFont="1" applyFill="1" applyBorder="1" applyAlignment="1">
      <alignment vertical="center"/>
    </xf>
    <xf numFmtId="165" fontId="10" fillId="3" borderId="49" xfId="5" applyNumberFormat="1" applyFont="1" applyFill="1" applyBorder="1" applyAlignment="1">
      <alignment vertical="center"/>
    </xf>
    <xf numFmtId="0" fontId="10" fillId="2" borderId="92" xfId="6" applyFont="1" applyBorder="1" applyAlignment="1">
      <alignment horizontal="left" vertical="center" wrapText="1" indent="2"/>
    </xf>
    <xf numFmtId="39" fontId="10" fillId="2" borderId="27" xfId="6" applyNumberFormat="1" applyFont="1" applyBorder="1" applyAlignment="1">
      <alignment horizontal="center" vertical="center"/>
    </xf>
    <xf numFmtId="165" fontId="10" fillId="3" borderId="94" xfId="5" applyNumberFormat="1" applyFont="1" applyFill="1" applyBorder="1" applyAlignment="1">
      <alignment vertical="center"/>
    </xf>
    <xf numFmtId="165" fontId="10" fillId="3" borderId="48" xfId="5" applyNumberFormat="1" applyFont="1" applyFill="1" applyBorder="1" applyAlignment="1">
      <alignment vertical="center"/>
    </xf>
    <xf numFmtId="0" fontId="15" fillId="2" borderId="89" xfId="6" applyFont="1" applyBorder="1" applyAlignment="1">
      <alignment horizontal="center" vertical="center"/>
    </xf>
    <xf numFmtId="39" fontId="15" fillId="2" borderId="41" xfId="6" applyNumberFormat="1" applyFont="1" applyBorder="1" applyAlignment="1">
      <alignment vertical="center"/>
    </xf>
    <xf numFmtId="39" fontId="15" fillId="2" borderId="7" xfId="6" applyNumberFormat="1" applyFont="1" applyBorder="1" applyAlignment="1">
      <alignment vertical="center"/>
    </xf>
    <xf numFmtId="165" fontId="15" fillId="3" borderId="7" xfId="5" applyNumberFormat="1" applyFont="1" applyFill="1" applyBorder="1" applyAlignment="1">
      <alignment vertical="center"/>
    </xf>
    <xf numFmtId="165" fontId="15" fillId="3" borderId="93" xfId="5" applyNumberFormat="1" applyFont="1" applyFill="1" applyBorder="1" applyAlignment="1">
      <alignment vertical="center"/>
    </xf>
    <xf numFmtId="165" fontId="15" fillId="3" borderId="49" xfId="5" applyNumberFormat="1" applyFont="1" applyFill="1" applyBorder="1" applyAlignment="1">
      <alignment vertical="center"/>
    </xf>
    <xf numFmtId="0" fontId="15" fillId="2" borderId="95" xfId="6" applyFont="1" applyBorder="1" applyAlignment="1">
      <alignment vertical="center"/>
    </xf>
    <xf numFmtId="39" fontId="10" fillId="2" borderId="96" xfId="6" applyNumberFormat="1" applyFont="1" applyBorder="1" applyAlignment="1">
      <alignment vertical="center"/>
    </xf>
    <xf numFmtId="165" fontId="10" fillId="3" borderId="96" xfId="5" applyNumberFormat="1" applyFont="1" applyFill="1" applyBorder="1" applyAlignment="1">
      <alignment vertical="center"/>
    </xf>
    <xf numFmtId="165" fontId="10" fillId="3" borderId="97" xfId="5" applyNumberFormat="1" applyFont="1" applyFill="1" applyBorder="1" applyAlignment="1">
      <alignment vertical="center"/>
    </xf>
    <xf numFmtId="165" fontId="10" fillId="3" borderId="129" xfId="5" applyNumberFormat="1" applyFont="1" applyFill="1" applyBorder="1" applyAlignment="1">
      <alignment vertical="center"/>
    </xf>
    <xf numFmtId="0" fontId="29" fillId="2" borderId="95" xfId="6" applyFont="1" applyBorder="1" applyAlignment="1">
      <alignment horizontal="left" vertical="center"/>
    </xf>
    <xf numFmtId="39" fontId="10" fillId="2" borderId="46" xfId="6" applyNumberFormat="1" applyFont="1" applyBorder="1" applyAlignment="1">
      <alignment vertical="center"/>
    </xf>
    <xf numFmtId="165" fontId="10" fillId="3" borderId="166" xfId="5" applyNumberFormat="1" applyFont="1" applyFill="1" applyBorder="1" applyAlignment="1">
      <alignment vertical="center"/>
    </xf>
    <xf numFmtId="165" fontId="10" fillId="3" borderId="167" xfId="5" applyNumberFormat="1" applyFont="1" applyFill="1" applyBorder="1" applyAlignment="1">
      <alignment vertical="center"/>
    </xf>
    <xf numFmtId="165" fontId="10" fillId="3" borderId="168" xfId="5" applyNumberFormat="1" applyFont="1" applyFill="1" applyBorder="1" applyAlignment="1">
      <alignment vertical="center"/>
    </xf>
    <xf numFmtId="39" fontId="10" fillId="2" borderId="28" xfId="6" applyNumberFormat="1" applyFont="1" applyBorder="1" applyAlignment="1">
      <alignment vertical="center"/>
    </xf>
    <xf numFmtId="165" fontId="10" fillId="3" borderId="169" xfId="5" applyNumberFormat="1" applyFont="1" applyFill="1" applyBorder="1" applyAlignment="1">
      <alignment vertical="center"/>
    </xf>
    <xf numFmtId="165" fontId="10" fillId="3" borderId="170" xfId="5" applyNumberFormat="1" applyFont="1" applyFill="1" applyBorder="1" applyAlignment="1">
      <alignment vertical="center"/>
    </xf>
    <xf numFmtId="165" fontId="10" fillId="3" borderId="124" xfId="5" applyNumberFormat="1" applyFont="1" applyFill="1" applyBorder="1" applyAlignment="1">
      <alignment vertical="center"/>
    </xf>
    <xf numFmtId="0" fontId="10" fillId="2" borderId="53" xfId="6" applyFont="1" applyBorder="1" applyAlignment="1">
      <alignment horizontal="center" vertical="center"/>
    </xf>
    <xf numFmtId="39" fontId="10" fillId="2" borderId="8" xfId="6" applyNumberFormat="1" applyFont="1" applyBorder="1" applyAlignment="1">
      <alignment vertical="center"/>
    </xf>
    <xf numFmtId="165" fontId="15" fillId="3" borderId="129" xfId="5" applyNumberFormat="1" applyFont="1" applyFill="1" applyBorder="1" applyAlignment="1">
      <alignment vertical="center"/>
    </xf>
    <xf numFmtId="39" fontId="10" fillId="2" borderId="41" xfId="6" applyNumberFormat="1" applyFont="1" applyBorder="1" applyAlignment="1">
      <alignment vertical="center"/>
    </xf>
    <xf numFmtId="165" fontId="15" fillId="3" borderId="60" xfId="5" applyNumberFormat="1" applyFont="1" applyFill="1" applyBorder="1" applyAlignment="1">
      <alignment horizontal="right" vertical="center"/>
    </xf>
    <xf numFmtId="0" fontId="15" fillId="3" borderId="0" xfId="6" applyFont="1" applyFill="1" applyAlignment="1">
      <alignment horizontal="left"/>
    </xf>
    <xf numFmtId="0" fontId="15" fillId="2" borderId="20" xfId="6" applyFont="1" applyBorder="1" applyAlignment="1">
      <alignment horizontal="left" vertical="center" wrapText="1"/>
    </xf>
    <xf numFmtId="0" fontId="15" fillId="2" borderId="23" xfId="6" applyFont="1" applyBorder="1" applyAlignment="1">
      <alignment horizontal="left" vertical="center" wrapText="1"/>
    </xf>
    <xf numFmtId="0" fontId="15" fillId="2" borderId="23" xfId="6" applyFont="1" applyBorder="1" applyAlignment="1">
      <alignment horizontal="left" vertical="center" wrapText="1" indent="1"/>
    </xf>
    <xf numFmtId="0" fontId="10" fillId="3" borderId="26" xfId="6" applyFont="1" applyFill="1" applyBorder="1" applyAlignment="1">
      <alignment horizontal="left" vertical="center" wrapText="1" indent="2"/>
    </xf>
    <xf numFmtId="0" fontId="15" fillId="2" borderId="28" xfId="6" applyFont="1" applyBorder="1" applyAlignment="1">
      <alignment horizontal="center" vertical="center" wrapText="1"/>
    </xf>
    <xf numFmtId="43" fontId="10" fillId="3" borderId="24" xfId="5" applyFont="1" applyFill="1" applyBorder="1" applyAlignment="1">
      <alignment vertical="center"/>
    </xf>
    <xf numFmtId="43" fontId="18" fillId="2" borderId="96" xfId="5" applyFont="1" applyBorder="1" applyAlignment="1">
      <alignment vertical="center"/>
    </xf>
    <xf numFmtId="165" fontId="18" fillId="2" borderId="96" xfId="5" applyNumberFormat="1" applyFont="1" applyBorder="1" applyAlignment="1">
      <alignment vertical="center"/>
    </xf>
    <xf numFmtId="0" fontId="18" fillId="3" borderId="29" xfId="6" applyFont="1" applyFill="1" applyBorder="1" applyAlignment="1">
      <alignment horizontal="left" vertical="center" wrapText="1" indent="3"/>
    </xf>
    <xf numFmtId="43" fontId="10" fillId="3" borderId="153" xfId="5" applyFont="1" applyFill="1" applyBorder="1" applyAlignment="1">
      <alignment vertical="center"/>
    </xf>
    <xf numFmtId="165" fontId="10" fillId="3" borderId="171" xfId="5" applyNumberFormat="1" applyFont="1" applyFill="1" applyBorder="1" applyAlignment="1">
      <alignment vertical="center"/>
    </xf>
    <xf numFmtId="0" fontId="18" fillId="3" borderId="23" xfId="6" applyFont="1" applyFill="1" applyBorder="1" applyAlignment="1">
      <alignment horizontal="left" vertical="center" wrapText="1" indent="3"/>
    </xf>
    <xf numFmtId="1" fontId="10" fillId="2" borderId="8" xfId="6" applyNumberFormat="1" applyFont="1" applyBorder="1" applyAlignment="1">
      <alignment horizontal="center" vertical="center"/>
    </xf>
    <xf numFmtId="43" fontId="10" fillId="2" borderId="7" xfId="5" applyFont="1" applyBorder="1" applyAlignment="1">
      <alignment vertical="center"/>
    </xf>
    <xf numFmtId="165" fontId="10" fillId="2" borderId="7" xfId="5" applyNumberFormat="1" applyFont="1" applyBorder="1" applyAlignment="1">
      <alignment vertical="center"/>
    </xf>
    <xf numFmtId="165" fontId="10" fillId="2" borderId="40" xfId="5" applyNumberFormat="1" applyFont="1" applyBorder="1" applyAlignment="1">
      <alignment vertical="center"/>
    </xf>
    <xf numFmtId="165" fontId="10" fillId="2" borderId="172" xfId="5" applyNumberFormat="1" applyFont="1" applyBorder="1" applyAlignment="1">
      <alignment vertical="center"/>
    </xf>
    <xf numFmtId="0" fontId="15" fillId="2" borderId="29" xfId="6" applyFont="1" applyBorder="1" applyAlignment="1">
      <alignment horizontal="left" vertical="center" wrapText="1"/>
    </xf>
    <xf numFmtId="43" fontId="10" fillId="2" borderId="100" xfId="5" applyFont="1" applyBorder="1" applyAlignment="1">
      <alignment vertical="center"/>
    </xf>
    <xf numFmtId="43" fontId="10" fillId="2" borderId="35" xfId="5" applyFont="1" applyBorder="1" applyAlignment="1">
      <alignment vertical="center"/>
    </xf>
    <xf numFmtId="37" fontId="10" fillId="2" borderId="10" xfId="6" applyNumberFormat="1" applyFont="1" applyBorder="1" applyAlignment="1">
      <alignment horizontal="center" vertical="center"/>
    </xf>
    <xf numFmtId="0" fontId="30" fillId="2" borderId="0" xfId="6" applyFont="1" applyAlignment="1">
      <alignment horizontal="center"/>
    </xf>
    <xf numFmtId="0" fontId="15" fillId="3" borderId="101" xfId="6" applyFont="1" applyFill="1" applyBorder="1" applyAlignment="1">
      <alignment horizontal="center"/>
    </xf>
    <xf numFmtId="0" fontId="10" fillId="2" borderId="102" xfId="6" applyFont="1" applyBorder="1" applyAlignment="1">
      <alignment vertical="center"/>
    </xf>
    <xf numFmtId="0" fontId="10" fillId="2" borderId="103" xfId="6" applyFont="1" applyBorder="1" applyAlignment="1">
      <alignment vertical="center"/>
    </xf>
    <xf numFmtId="39" fontId="10" fillId="2" borderId="103" xfId="6" applyNumberFormat="1" applyFont="1" applyBorder="1" applyAlignment="1">
      <alignment vertical="center"/>
    </xf>
    <xf numFmtId="43" fontId="10" fillId="2" borderId="105" xfId="5" applyFont="1" applyBorder="1" applyAlignment="1">
      <alignment vertical="center"/>
    </xf>
    <xf numFmtId="1" fontId="10" fillId="3" borderId="173" xfId="6" applyNumberFormat="1" applyFont="1" applyFill="1" applyBorder="1" applyAlignment="1">
      <alignment horizontal="center" vertical="center"/>
    </xf>
    <xf numFmtId="43" fontId="10" fillId="2" borderId="174" xfId="5" applyFont="1" applyBorder="1" applyAlignment="1">
      <alignment vertical="center"/>
    </xf>
    <xf numFmtId="43" fontId="10" fillId="2" borderId="175" xfId="5" applyFont="1" applyBorder="1" applyAlignment="1">
      <alignment vertical="center"/>
    </xf>
    <xf numFmtId="43" fontId="10" fillId="2" borderId="115" xfId="5" applyFont="1" applyBorder="1" applyAlignment="1">
      <alignment vertical="center"/>
    </xf>
    <xf numFmtId="43" fontId="10" fillId="2" borderId="176" xfId="5" applyFont="1" applyBorder="1" applyAlignment="1">
      <alignment vertical="center"/>
    </xf>
    <xf numFmtId="43" fontId="10" fillId="2" borderId="177" xfId="5" applyFont="1" applyBorder="1" applyAlignment="1">
      <alignment vertical="center"/>
    </xf>
    <xf numFmtId="43" fontId="15" fillId="2" borderId="106" xfId="5" applyFont="1" applyBorder="1" applyAlignment="1">
      <alignment vertical="center"/>
    </xf>
    <xf numFmtId="1" fontId="10" fillId="2" borderId="9" xfId="6" applyNumberFormat="1" applyFont="1" applyBorder="1" applyAlignment="1">
      <alignment horizontal="center" vertical="center"/>
    </xf>
    <xf numFmtId="0" fontId="10" fillId="2" borderId="9" xfId="6" applyFont="1" applyBorder="1" applyAlignment="1">
      <alignment horizontal="center" vertical="center"/>
    </xf>
    <xf numFmtId="0" fontId="10" fillId="2" borderId="107" xfId="6" applyFont="1" applyBorder="1" applyAlignment="1">
      <alignment horizontal="center" vertical="center"/>
    </xf>
    <xf numFmtId="43" fontId="10" fillId="2" borderId="178" xfId="5" applyFont="1" applyBorder="1" applyAlignment="1">
      <alignment horizontal="center" vertical="center"/>
    </xf>
    <xf numFmtId="43" fontId="10" fillId="2" borderId="10" xfId="5" applyFont="1" applyFill="1" applyBorder="1" applyAlignment="1">
      <alignment vertical="center"/>
    </xf>
    <xf numFmtId="43" fontId="10" fillId="2" borderId="43" xfId="5" applyFont="1" applyFill="1" applyBorder="1" applyAlignment="1">
      <alignment vertical="center"/>
    </xf>
    <xf numFmtId="43" fontId="10" fillId="2" borderId="104" xfId="5" applyFont="1" applyFill="1" applyBorder="1" applyAlignment="1">
      <alignment vertical="center"/>
    </xf>
    <xf numFmtId="43" fontId="10" fillId="2" borderId="108" xfId="5" applyFont="1" applyFill="1" applyBorder="1" applyAlignment="1">
      <alignment vertical="center"/>
    </xf>
    <xf numFmtId="165" fontId="10" fillId="2" borderId="47" xfId="5" applyNumberFormat="1" applyFont="1" applyFill="1" applyBorder="1" applyAlignment="1">
      <alignment vertical="center"/>
    </xf>
    <xf numFmtId="165" fontId="10" fillId="2" borderId="108" xfId="5" applyNumberFormat="1" applyFont="1" applyFill="1" applyBorder="1" applyAlignment="1">
      <alignment vertical="center"/>
    </xf>
    <xf numFmtId="0" fontId="10" fillId="2" borderId="26" xfId="6" applyFont="1" applyBorder="1" applyAlignment="1">
      <alignment horizontal="left" vertical="center" wrapText="1" indent="3"/>
    </xf>
    <xf numFmtId="0" fontId="10" fillId="2" borderId="26" xfId="6" applyFont="1" applyBorder="1" applyAlignment="1">
      <alignment horizontal="left" vertical="center" indent="3"/>
    </xf>
    <xf numFmtId="40" fontId="10" fillId="2" borderId="30" xfId="6" applyNumberFormat="1" applyFont="1" applyBorder="1" applyAlignment="1">
      <alignment vertical="center"/>
    </xf>
    <xf numFmtId="1" fontId="10" fillId="2" borderId="27" xfId="6" applyNumberFormat="1" applyFont="1" applyBorder="1" applyAlignment="1">
      <alignment horizontal="center" vertical="center"/>
    </xf>
    <xf numFmtId="40" fontId="10" fillId="2" borderId="0" xfId="6" applyNumberFormat="1" applyFont="1"/>
    <xf numFmtId="0" fontId="10" fillId="3" borderId="92" xfId="6" applyFont="1" applyFill="1" applyBorder="1" applyAlignment="1">
      <alignment horizontal="left" vertical="center" indent="2"/>
    </xf>
    <xf numFmtId="0" fontId="10" fillId="2" borderId="3" xfId="6" applyFont="1" applyBorder="1" applyAlignment="1">
      <alignment vertical="center"/>
    </xf>
    <xf numFmtId="0" fontId="10" fillId="2" borderId="30" xfId="6" applyFont="1" applyBorder="1" applyAlignment="1">
      <alignment vertical="center"/>
    </xf>
    <xf numFmtId="165" fontId="10" fillId="2" borderId="11" xfId="6" applyNumberFormat="1" applyFont="1" applyBorder="1" applyAlignment="1">
      <alignment vertical="center"/>
    </xf>
    <xf numFmtId="165" fontId="10" fillId="2" borderId="10" xfId="6" applyNumberFormat="1" applyFont="1" applyBorder="1" applyAlignment="1">
      <alignment vertical="center"/>
    </xf>
    <xf numFmtId="165" fontId="10" fillId="2" borderId="114" xfId="6" applyNumberFormat="1" applyFont="1" applyBorder="1" applyAlignment="1">
      <alignment vertical="center"/>
    </xf>
    <xf numFmtId="165" fontId="10" fillId="2" borderId="24" xfId="6" applyNumberFormat="1" applyFont="1" applyBorder="1" applyAlignment="1">
      <alignment vertical="center"/>
    </xf>
    <xf numFmtId="165" fontId="18" fillId="2" borderId="10" xfId="6" applyNumberFormat="1" applyFont="1" applyBorder="1" applyAlignment="1">
      <alignment vertical="center"/>
    </xf>
    <xf numFmtId="0" fontId="10" fillId="2" borderId="58" xfId="6" applyFont="1" applyBorder="1" applyAlignment="1">
      <alignment vertical="center"/>
    </xf>
    <xf numFmtId="0" fontId="10" fillId="2" borderId="43" xfId="6" applyFont="1" applyBorder="1" applyAlignment="1">
      <alignment vertical="center"/>
    </xf>
    <xf numFmtId="39" fontId="10" fillId="2" borderId="43" xfId="6" applyNumberFormat="1" applyFont="1" applyBorder="1" applyAlignment="1">
      <alignment vertical="center"/>
    </xf>
    <xf numFmtId="43" fontId="10" fillId="2" borderId="10" xfId="5" applyFont="1" applyBorder="1" applyAlignment="1">
      <alignment horizontal="center" vertical="center"/>
    </xf>
    <xf numFmtId="43" fontId="10" fillId="2" borderId="47" xfId="5" applyFont="1" applyBorder="1" applyAlignment="1">
      <alignment horizontal="right"/>
    </xf>
    <xf numFmtId="43" fontId="10" fillId="2" borderId="66" xfId="5" applyFont="1" applyBorder="1" applyAlignment="1">
      <alignment horizontal="center" vertical="center"/>
    </xf>
    <xf numFmtId="43" fontId="15" fillId="2" borderId="28" xfId="5" applyFont="1" applyBorder="1" applyAlignment="1">
      <alignment horizontal="center" vertical="center"/>
    </xf>
    <xf numFmtId="43" fontId="15" fillId="2" borderId="19" xfId="5" applyFont="1" applyBorder="1" applyAlignment="1">
      <alignment vertical="center"/>
    </xf>
    <xf numFmtId="43" fontId="10" fillId="2" borderId="4" xfId="5" applyFont="1" applyBorder="1" applyAlignment="1">
      <alignment horizontal="center" vertical="center"/>
    </xf>
    <xf numFmtId="43" fontId="10" fillId="2" borderId="58" xfId="5" applyFont="1" applyBorder="1" applyAlignment="1">
      <alignment vertical="center"/>
    </xf>
    <xf numFmtId="43" fontId="10" fillId="2" borderId="43" xfId="5" applyFont="1" applyBorder="1" applyAlignment="1">
      <alignment vertical="center"/>
    </xf>
    <xf numFmtId="43" fontId="31" fillId="2" borderId="13" xfId="5" applyFont="1" applyBorder="1" applyAlignment="1">
      <alignment horizontal="center"/>
    </xf>
    <xf numFmtId="165" fontId="10" fillId="2" borderId="43" xfId="5" applyNumberFormat="1" applyFont="1" applyBorder="1" applyAlignment="1">
      <alignment vertical="center"/>
    </xf>
    <xf numFmtId="0" fontId="10" fillId="2" borderId="23" xfId="6" applyFont="1" applyBorder="1" applyAlignment="1">
      <alignment horizontal="left" vertical="top" wrapText="1" indent="3"/>
    </xf>
    <xf numFmtId="0" fontId="10" fillId="2" borderId="145" xfId="6" applyFont="1" applyBorder="1" applyAlignment="1">
      <alignment horizontal="left" vertical="center" wrapText="1" indent="3"/>
    </xf>
    <xf numFmtId="43" fontId="10" fillId="2" borderId="179" xfId="5" applyFont="1" applyBorder="1" applyAlignment="1">
      <alignment horizontal="center" vertical="center"/>
    </xf>
    <xf numFmtId="165" fontId="10" fillId="2" borderId="146" xfId="5" applyNumberFormat="1" applyFont="1" applyBorder="1" applyAlignment="1">
      <alignment vertical="center"/>
    </xf>
    <xf numFmtId="165" fontId="10" fillId="2" borderId="179" xfId="5" applyNumberFormat="1" applyFont="1" applyBorder="1" applyAlignment="1">
      <alignment vertical="center"/>
    </xf>
    <xf numFmtId="165" fontId="10" fillId="2" borderId="180" xfId="5" applyNumberFormat="1" applyFont="1" applyBorder="1" applyAlignment="1">
      <alignment vertical="center"/>
    </xf>
    <xf numFmtId="165" fontId="10" fillId="2" borderId="181" xfId="5" applyNumberFormat="1" applyFont="1" applyBorder="1" applyAlignment="1">
      <alignment vertical="center"/>
    </xf>
    <xf numFmtId="43" fontId="15" fillId="2" borderId="0" xfId="5" applyFont="1" applyBorder="1" applyAlignment="1">
      <alignment vertical="center"/>
    </xf>
    <xf numFmtId="165" fontId="15" fillId="2" borderId="0" xfId="5" applyNumberFormat="1" applyFont="1" applyBorder="1" applyAlignment="1">
      <alignment vertical="center"/>
    </xf>
    <xf numFmtId="165" fontId="10" fillId="2" borderId="57" xfId="5" applyNumberFormat="1" applyFont="1" applyBorder="1" applyAlignment="1">
      <alignment vertical="center"/>
    </xf>
    <xf numFmtId="43" fontId="0" fillId="2" borderId="0" xfId="5" applyFont="1" applyAlignment="1"/>
    <xf numFmtId="43" fontId="14" fillId="2" borderId="0" xfId="5" applyFont="1" applyAlignment="1">
      <alignment horizontal="center" vertical="center" wrapText="1"/>
    </xf>
    <xf numFmtId="43" fontId="10" fillId="2" borderId="0" xfId="5" applyFont="1" applyAlignment="1">
      <alignment horizontal="center" vertical="center" wrapText="1"/>
    </xf>
    <xf numFmtId="0" fontId="10" fillId="2" borderId="0" xfId="6" applyFont="1" applyAlignment="1">
      <alignment horizontal="left" vertical="center"/>
    </xf>
    <xf numFmtId="43" fontId="10" fillId="2" borderId="0" xfId="5" applyFont="1" applyBorder="1"/>
    <xf numFmtId="43" fontId="32" fillId="2" borderId="0" xfId="5" applyFont="1" applyBorder="1" applyAlignment="1">
      <alignment vertical="top"/>
    </xf>
    <xf numFmtId="0" fontId="10" fillId="2" borderId="113" xfId="6" applyFont="1" applyBorder="1" applyAlignment="1">
      <alignment horizontal="left" vertical="center" indent="2"/>
    </xf>
    <xf numFmtId="1" fontId="10" fillId="2" borderId="50" xfId="6" applyNumberFormat="1" applyFont="1" applyBorder="1" applyAlignment="1">
      <alignment horizontal="center" vertical="center"/>
    </xf>
    <xf numFmtId="0" fontId="15" fillId="2" borderId="29" xfId="6" applyFont="1" applyBorder="1" applyAlignment="1">
      <alignment horizontal="left" vertical="center" indent="1"/>
    </xf>
    <xf numFmtId="0" fontId="10" fillId="2" borderId="92" xfId="6" applyFont="1" applyBorder="1" applyAlignment="1">
      <alignment horizontal="left" vertical="center" indent="2"/>
    </xf>
    <xf numFmtId="0" fontId="24" fillId="2" borderId="0" xfId="6" applyFont="1" applyAlignment="1">
      <alignment vertical="center"/>
    </xf>
    <xf numFmtId="0" fontId="10" fillId="3" borderId="29" xfId="6" applyFont="1" applyFill="1" applyBorder="1" applyAlignment="1">
      <alignment horizontal="left" vertical="center" wrapText="1" indent="2"/>
    </xf>
    <xf numFmtId="4" fontId="10" fillId="2" borderId="4" xfId="6" applyNumberFormat="1" applyFont="1" applyBorder="1" applyAlignment="1">
      <alignment vertical="center"/>
    </xf>
    <xf numFmtId="37" fontId="10" fillId="2" borderId="3" xfId="6" applyNumberFormat="1" applyFont="1" applyBorder="1" applyAlignment="1">
      <alignment horizontal="center" vertical="center"/>
    </xf>
    <xf numFmtId="165" fontId="10" fillId="2" borderId="46" xfId="5" applyNumberFormat="1" applyFont="1" applyBorder="1" applyAlignment="1">
      <alignment vertical="center"/>
    </xf>
    <xf numFmtId="165" fontId="15" fillId="3" borderId="0" xfId="5" applyNumberFormat="1" applyFont="1" applyFill="1" applyBorder="1" applyAlignment="1">
      <alignment vertical="center"/>
    </xf>
    <xf numFmtId="0" fontId="33" fillId="2" borderId="0" xfId="6" applyFont="1" applyAlignment="1">
      <alignment vertical="center"/>
    </xf>
    <xf numFmtId="166" fontId="10" fillId="2" borderId="11" xfId="6" applyNumberFormat="1" applyFont="1" applyBorder="1" applyAlignment="1">
      <alignment vertical="center"/>
    </xf>
    <xf numFmtId="166" fontId="10" fillId="2" borderId="24" xfId="6" applyNumberFormat="1" applyFont="1" applyBorder="1" applyAlignment="1">
      <alignment vertical="center"/>
    </xf>
    <xf numFmtId="166" fontId="10" fillId="2" borderId="25" xfId="6" applyNumberFormat="1" applyFont="1" applyBorder="1" applyAlignment="1">
      <alignment vertical="center"/>
    </xf>
    <xf numFmtId="166" fontId="18" fillId="2" borderId="13" xfId="6" applyNumberFormat="1" applyFont="1" applyBorder="1" applyAlignment="1">
      <alignment vertical="center"/>
    </xf>
    <xf numFmtId="165" fontId="21" fillId="2" borderId="11" xfId="6" applyNumberFormat="1" applyFont="1" applyBorder="1" applyAlignment="1">
      <alignment vertical="center"/>
    </xf>
    <xf numFmtId="166" fontId="10" fillId="2" borderId="50" xfId="6" applyNumberFormat="1" applyFont="1" applyBorder="1" applyAlignment="1">
      <alignment vertical="center"/>
    </xf>
    <xf numFmtId="166" fontId="10" fillId="2" borderId="52" xfId="6" applyNumberFormat="1" applyFont="1" applyBorder="1" applyAlignment="1">
      <alignment vertical="center"/>
    </xf>
    <xf numFmtId="166" fontId="10" fillId="2" borderId="49" xfId="6" applyNumberFormat="1" applyFont="1" applyBorder="1" applyAlignment="1">
      <alignment vertical="center"/>
    </xf>
    <xf numFmtId="166" fontId="15" fillId="3" borderId="28" xfId="6" applyNumberFormat="1" applyFont="1" applyFill="1" applyBorder="1" applyAlignment="1">
      <alignment vertical="center"/>
    </xf>
    <xf numFmtId="0" fontId="15" fillId="2" borderId="110" xfId="6" applyFont="1" applyBorder="1"/>
    <xf numFmtId="1" fontId="8" fillId="2" borderId="111" xfId="6" applyNumberFormat="1" applyFont="1" applyBorder="1"/>
    <xf numFmtId="166" fontId="8" fillId="2" borderId="111" xfId="6" applyNumberFormat="1" applyFont="1" applyBorder="1"/>
    <xf numFmtId="166" fontId="8" fillId="2" borderId="34" xfId="6" applyNumberFormat="1" applyFont="1" applyBorder="1"/>
    <xf numFmtId="166" fontId="10" fillId="2" borderId="24" xfId="6" applyNumberFormat="1" applyFont="1" applyBorder="1" applyAlignment="1">
      <alignment horizontal="right" vertical="center"/>
    </xf>
    <xf numFmtId="165" fontId="21" fillId="2" borderId="11" xfId="6" applyNumberFormat="1" applyFont="1" applyBorder="1" applyAlignment="1">
      <alignment horizontal="right" vertical="center"/>
    </xf>
    <xf numFmtId="165" fontId="21" fillId="3" borderId="11" xfId="6" applyNumberFormat="1" applyFont="1" applyFill="1" applyBorder="1" applyAlignment="1">
      <alignment vertical="center"/>
    </xf>
    <xf numFmtId="166" fontId="21" fillId="2" borderId="11" xfId="6" applyNumberFormat="1" applyFont="1" applyBorder="1" applyAlignment="1">
      <alignment horizontal="right" vertical="center"/>
    </xf>
    <xf numFmtId="166" fontId="18" fillId="2" borderId="24" xfId="6" applyNumberFormat="1" applyFont="1" applyBorder="1" applyAlignment="1">
      <alignment vertical="center"/>
    </xf>
    <xf numFmtId="165" fontId="10" fillId="2" borderId="24" xfId="6" applyNumberFormat="1" applyFont="1" applyBorder="1" applyAlignment="1">
      <alignment horizontal="right" vertical="center"/>
    </xf>
    <xf numFmtId="39" fontId="18" fillId="2" borderId="11" xfId="6" applyNumberFormat="1" applyFont="1" applyBorder="1" applyAlignment="1">
      <alignment vertical="center"/>
    </xf>
    <xf numFmtId="165" fontId="21" fillId="2" borderId="24" xfId="6" applyNumberFormat="1" applyFont="1" applyBorder="1" applyAlignment="1">
      <alignment vertical="center"/>
    </xf>
    <xf numFmtId="39" fontId="18" fillId="2" borderId="8" xfId="6" applyNumberFormat="1" applyFont="1" applyBorder="1" applyAlignment="1">
      <alignment vertical="center"/>
    </xf>
    <xf numFmtId="165" fontId="21" fillId="2" borderId="8" xfId="6" applyNumberFormat="1" applyFont="1" applyBorder="1" applyAlignment="1">
      <alignment vertical="center"/>
    </xf>
    <xf numFmtId="165" fontId="21" fillId="2" borderId="40" xfId="6" applyNumberFormat="1" applyFont="1" applyBorder="1" applyAlignment="1">
      <alignment vertical="center"/>
    </xf>
    <xf numFmtId="39" fontId="18" fillId="2" borderId="28" xfId="6" applyNumberFormat="1" applyFont="1" applyBorder="1" applyAlignment="1">
      <alignment vertical="center"/>
    </xf>
    <xf numFmtId="166" fontId="15" fillId="3" borderId="28" xfId="6" applyNumberFormat="1" applyFont="1" applyFill="1" applyBorder="1" applyAlignment="1">
      <alignment horizontal="right" vertical="center"/>
    </xf>
    <xf numFmtId="165" fontId="10" fillId="3" borderId="27" xfId="6" applyNumberFormat="1" applyFont="1" applyFill="1" applyBorder="1" applyAlignment="1">
      <alignment horizontal="right" vertical="center"/>
    </xf>
    <xf numFmtId="166" fontId="10" fillId="3" borderId="27" xfId="6" applyNumberFormat="1" applyFont="1" applyFill="1" applyBorder="1" applyAlignment="1">
      <alignment horizontal="right" vertical="center"/>
    </xf>
    <xf numFmtId="165" fontId="10" fillId="3" borderId="94" xfId="6" applyNumberFormat="1" applyFont="1" applyFill="1" applyBorder="1" applyAlignment="1">
      <alignment horizontal="right" vertical="center"/>
    </xf>
    <xf numFmtId="39" fontId="8" fillId="2" borderId="88" xfId="6" applyNumberFormat="1" applyFont="1" applyBorder="1" applyAlignment="1">
      <alignment vertical="center"/>
    </xf>
    <xf numFmtId="166" fontId="15" fillId="3" borderId="88" xfId="6" applyNumberFormat="1" applyFont="1" applyFill="1" applyBorder="1" applyAlignment="1">
      <alignment horizontal="right" vertical="center"/>
    </xf>
    <xf numFmtId="39" fontId="8" fillId="2" borderId="0" xfId="6" applyNumberFormat="1" applyFont="1" applyAlignment="1">
      <alignment vertical="center"/>
    </xf>
    <xf numFmtId="166" fontId="15" fillId="3" borderId="0" xfId="6" applyNumberFormat="1" applyFont="1" applyFill="1" applyAlignment="1">
      <alignment horizontal="right" vertical="center"/>
    </xf>
    <xf numFmtId="0" fontId="10" fillId="2" borderId="0" xfId="6" applyFont="1" applyAlignment="1">
      <alignment horizontal="center" vertical="top"/>
    </xf>
    <xf numFmtId="0" fontId="10" fillId="2" borderId="0" xfId="6" applyFont="1" applyAlignment="1">
      <alignment horizontal="center" vertical="top" wrapText="1"/>
    </xf>
    <xf numFmtId="43" fontId="10" fillId="2" borderId="45" xfId="5" applyFont="1" applyBorder="1" applyAlignment="1">
      <alignment vertical="center"/>
    </xf>
    <xf numFmtId="165" fontId="10" fillId="2" borderId="50" xfId="5" applyNumberFormat="1" applyFont="1" applyBorder="1" applyAlignment="1">
      <alignment vertical="center"/>
    </xf>
    <xf numFmtId="165" fontId="10" fillId="2" borderId="114" xfId="5" applyNumberFormat="1" applyFont="1" applyBorder="1" applyAlignment="1">
      <alignment vertical="center"/>
    </xf>
    <xf numFmtId="0" fontId="34" fillId="2" borderId="23" xfId="6" applyFont="1" applyBorder="1" applyAlignment="1">
      <alignment horizontal="left" vertical="center" wrapText="1" indent="3"/>
    </xf>
    <xf numFmtId="1" fontId="34" fillId="2" borderId="4" xfId="6" applyNumberFormat="1" applyFont="1" applyBorder="1" applyAlignment="1">
      <alignment horizontal="center" vertical="center"/>
    </xf>
    <xf numFmtId="165" fontId="34" fillId="2" borderId="9" xfId="5" applyNumberFormat="1" applyFont="1" applyFill="1" applyBorder="1" applyAlignment="1">
      <alignment vertical="center"/>
    </xf>
    <xf numFmtId="165" fontId="34" fillId="2" borderId="4" xfId="5" applyNumberFormat="1" applyFont="1" applyFill="1" applyBorder="1" applyAlignment="1">
      <alignment vertical="center"/>
    </xf>
    <xf numFmtId="43" fontId="34" fillId="2" borderId="112" xfId="5" applyFont="1" applyFill="1" applyBorder="1" applyAlignment="1">
      <alignment vertical="center"/>
    </xf>
    <xf numFmtId="165" fontId="34" fillId="2" borderId="25" xfId="5" applyNumberFormat="1" applyFont="1" applyFill="1" applyBorder="1" applyAlignment="1">
      <alignment vertical="center"/>
    </xf>
    <xf numFmtId="0" fontId="10" fillId="2" borderId="0" xfId="6" applyFont="1" applyAlignment="1">
      <alignment horizontal="left" indent="3"/>
    </xf>
    <xf numFmtId="0" fontId="10" fillId="2" borderId="0" xfId="6" applyFont="1" applyAlignment="1">
      <alignment horizontal="left" indent="2"/>
    </xf>
    <xf numFmtId="4" fontId="29" fillId="2" borderId="0" xfId="6" applyNumberFormat="1" applyFont="1" applyAlignment="1">
      <alignment vertical="center"/>
    </xf>
    <xf numFmtId="1" fontId="10" fillId="2" borderId="5" xfId="6" applyNumberFormat="1" applyFont="1" applyBorder="1" applyAlignment="1">
      <alignment horizontal="center" vertical="center"/>
    </xf>
    <xf numFmtId="165" fontId="21" fillId="2" borderId="62" xfId="5" applyNumberFormat="1" applyFont="1" applyBorder="1"/>
    <xf numFmtId="1" fontId="21" fillId="2" borderId="13" xfId="6" applyNumberFormat="1" applyFont="1" applyBorder="1" applyAlignment="1">
      <alignment horizontal="center"/>
    </xf>
    <xf numFmtId="165" fontId="21" fillId="2" borderId="30" xfId="5" applyNumberFormat="1" applyFont="1" applyBorder="1"/>
    <xf numFmtId="0" fontId="21" fillId="2" borderId="29" xfId="6" applyFont="1" applyBorder="1" applyAlignment="1">
      <alignment horizontal="left" vertical="center" indent="2"/>
    </xf>
    <xf numFmtId="1" fontId="21" fillId="2" borderId="5" xfId="6" applyNumberFormat="1" applyFont="1" applyBorder="1" applyAlignment="1">
      <alignment horizontal="center"/>
    </xf>
    <xf numFmtId="0" fontId="21" fillId="2" borderId="29" xfId="6" applyFont="1" applyBorder="1" applyAlignment="1">
      <alignment horizontal="left" vertical="center" wrapText="1" indent="2"/>
    </xf>
    <xf numFmtId="1" fontId="21" fillId="2" borderId="5" xfId="6" applyNumberFormat="1" applyFont="1" applyBorder="1" applyAlignment="1">
      <alignment horizontal="center" vertical="center"/>
    </xf>
    <xf numFmtId="0" fontId="21" fillId="2" borderId="92" xfId="6" applyFont="1" applyBorder="1" applyAlignment="1">
      <alignment horizontal="left" vertical="center" indent="2"/>
    </xf>
    <xf numFmtId="1" fontId="21" fillId="2" borderId="27" xfId="6" applyNumberFormat="1" applyFont="1" applyBorder="1" applyAlignment="1">
      <alignment horizontal="center"/>
    </xf>
    <xf numFmtId="0" fontId="15" fillId="2" borderId="110" xfId="6" applyFont="1" applyBorder="1" applyAlignment="1">
      <alignment horizontal="center" vertical="center"/>
    </xf>
    <xf numFmtId="40" fontId="15" fillId="3" borderId="21" xfId="6" applyNumberFormat="1" applyFont="1" applyFill="1" applyBorder="1" applyAlignment="1">
      <alignment vertical="center"/>
    </xf>
    <xf numFmtId="40" fontId="15" fillId="3" borderId="133" xfId="6" applyNumberFormat="1" applyFont="1" applyFill="1" applyBorder="1" applyAlignment="1">
      <alignment vertical="center"/>
    </xf>
    <xf numFmtId="0" fontId="15" fillId="2" borderId="31" xfId="6" applyFont="1" applyBorder="1" applyAlignment="1">
      <alignment horizontal="left" vertical="center"/>
    </xf>
    <xf numFmtId="40" fontId="10" fillId="3" borderId="10" xfId="6" applyNumberFormat="1" applyFont="1" applyFill="1" applyBorder="1" applyAlignment="1">
      <alignment vertical="center"/>
    </xf>
    <xf numFmtId="40" fontId="10" fillId="3" borderId="135" xfId="6" applyNumberFormat="1" applyFont="1" applyFill="1" applyBorder="1" applyAlignment="1">
      <alignment vertical="center"/>
    </xf>
    <xf numFmtId="0" fontId="29" fillId="3" borderId="29" xfId="6" applyFont="1" applyFill="1" applyBorder="1" applyAlignment="1">
      <alignment horizontal="left" vertical="center" wrapText="1" indent="1"/>
    </xf>
    <xf numFmtId="40" fontId="15" fillId="3" borderId="10" xfId="6" applyNumberFormat="1" applyFont="1" applyFill="1" applyBorder="1" applyAlignment="1">
      <alignment vertical="center"/>
    </xf>
    <xf numFmtId="40" fontId="15" fillId="3" borderId="135" xfId="6" applyNumberFormat="1" applyFont="1" applyFill="1" applyBorder="1" applyAlignment="1">
      <alignment vertical="center"/>
    </xf>
    <xf numFmtId="0" fontId="15" fillId="3" borderId="29" xfId="6" applyFont="1" applyFill="1" applyBorder="1" applyAlignment="1">
      <alignment horizontal="left" vertical="center"/>
    </xf>
    <xf numFmtId="0" fontId="21" fillId="2" borderId="23" xfId="6" applyFont="1" applyBorder="1" applyAlignment="1">
      <alignment horizontal="left" wrapText="1" indent="3"/>
    </xf>
    <xf numFmtId="0" fontId="21" fillId="3" borderId="23" xfId="6" applyFont="1" applyFill="1" applyBorder="1" applyAlignment="1">
      <alignment horizontal="left" wrapText="1" indent="3"/>
    </xf>
    <xf numFmtId="164" fontId="22" fillId="2" borderId="28" xfId="6" applyNumberFormat="1" applyFont="1" applyBorder="1"/>
    <xf numFmtId="0" fontId="21" fillId="2" borderId="0" xfId="6" applyFont="1" applyAlignment="1">
      <alignment horizontal="left" vertical="center" wrapText="1" indent="2"/>
    </xf>
    <xf numFmtId="4" fontId="10" fillId="2" borderId="0" xfId="6" applyNumberFormat="1" applyFont="1" applyAlignment="1">
      <alignment horizontal="left"/>
    </xf>
    <xf numFmtId="0" fontId="10" fillId="2" borderId="92" xfId="6" applyFont="1" applyBorder="1" applyAlignment="1">
      <alignment horizontal="left" vertical="center" indent="3"/>
    </xf>
    <xf numFmtId="0" fontId="15" fillId="3" borderId="0" xfId="6" applyFont="1" applyFill="1" applyAlignment="1">
      <alignment vertical="center"/>
    </xf>
    <xf numFmtId="0" fontId="15" fillId="3" borderId="20" xfId="6" applyFont="1" applyFill="1" applyBorder="1" applyAlignment="1">
      <alignment horizontal="left" vertical="center"/>
    </xf>
    <xf numFmtId="0" fontId="10" fillId="3" borderId="21" xfId="6" applyFont="1" applyFill="1" applyBorder="1" applyAlignment="1">
      <alignment vertical="center"/>
    </xf>
    <xf numFmtId="0" fontId="10" fillId="3" borderId="22" xfId="6" applyFont="1" applyFill="1" applyBorder="1" applyAlignment="1">
      <alignment vertical="center"/>
    </xf>
    <xf numFmtId="0" fontId="10" fillId="3" borderId="34" xfId="6" applyFont="1" applyFill="1" applyBorder="1" applyAlignment="1">
      <alignment vertical="center"/>
    </xf>
    <xf numFmtId="0" fontId="15" fillId="3" borderId="23" xfId="6" applyFont="1" applyFill="1" applyBorder="1" applyAlignment="1">
      <alignment horizontal="left" vertical="center"/>
    </xf>
    <xf numFmtId="0" fontId="10" fillId="3" borderId="10" xfId="6" applyFont="1" applyFill="1" applyBorder="1" applyAlignment="1">
      <alignment horizontal="center" vertical="center"/>
    </xf>
    <xf numFmtId="0" fontId="10" fillId="3" borderId="10" xfId="6" applyFont="1" applyFill="1" applyBorder="1" applyAlignment="1">
      <alignment vertical="center"/>
    </xf>
    <xf numFmtId="0" fontId="10" fillId="3" borderId="24" xfId="6" applyFont="1" applyFill="1" applyBorder="1" applyAlignment="1">
      <alignment vertical="center"/>
    </xf>
    <xf numFmtId="0" fontId="10" fillId="3" borderId="25" xfId="6" applyFont="1" applyFill="1" applyBorder="1" applyAlignment="1">
      <alignment vertical="center"/>
    </xf>
    <xf numFmtId="39" fontId="10" fillId="3" borderId="24" xfId="6" applyNumberFormat="1" applyFont="1" applyFill="1" applyBorder="1" applyAlignment="1">
      <alignment vertical="center"/>
    </xf>
    <xf numFmtId="39" fontId="10" fillId="3" borderId="25" xfId="6" applyNumberFormat="1" applyFont="1" applyFill="1" applyBorder="1" applyAlignment="1">
      <alignment vertical="center"/>
    </xf>
    <xf numFmtId="0" fontId="10" fillId="3" borderId="116" xfId="6" applyFont="1" applyFill="1" applyBorder="1" applyAlignment="1">
      <alignment horizontal="left" vertical="center" indent="2"/>
    </xf>
    <xf numFmtId="1" fontId="10" fillId="3" borderId="96" xfId="6" applyNumberFormat="1" applyFont="1" applyFill="1" applyBorder="1" applyAlignment="1">
      <alignment horizontal="center" vertical="center"/>
    </xf>
    <xf numFmtId="43" fontId="10" fillId="3" borderId="115" xfId="5" applyFont="1" applyFill="1" applyBorder="1" applyAlignment="1">
      <alignment vertical="center"/>
    </xf>
    <xf numFmtId="0" fontId="15" fillId="3" borderId="28" xfId="6" applyFont="1" applyFill="1" applyBorder="1" applyAlignment="1">
      <alignment horizontal="center" vertical="center"/>
    </xf>
    <xf numFmtId="1" fontId="15" fillId="3" borderId="28" xfId="6" applyNumberFormat="1" applyFont="1" applyFill="1" applyBorder="1" applyAlignment="1">
      <alignment horizontal="center" vertical="center"/>
    </xf>
    <xf numFmtId="0" fontId="10" fillId="3" borderId="4" xfId="6" applyFont="1" applyFill="1" applyBorder="1" applyAlignment="1">
      <alignment vertical="center"/>
    </xf>
    <xf numFmtId="0" fontId="10" fillId="3" borderId="62" xfId="6" applyFont="1" applyFill="1" applyBorder="1" applyAlignment="1">
      <alignment vertical="center"/>
    </xf>
    <xf numFmtId="0" fontId="10" fillId="3" borderId="30" xfId="6" applyFont="1" applyFill="1" applyBorder="1" applyAlignment="1">
      <alignment vertical="center"/>
    </xf>
    <xf numFmtId="39" fontId="15" fillId="3" borderId="28" xfId="6" applyNumberFormat="1" applyFont="1" applyFill="1" applyBorder="1" applyAlignment="1">
      <alignment vertical="center"/>
    </xf>
    <xf numFmtId="37" fontId="10" fillId="3" borderId="11" xfId="6" applyNumberFormat="1" applyFont="1" applyFill="1" applyBorder="1" applyAlignment="1">
      <alignment horizontal="center" vertical="center"/>
    </xf>
    <xf numFmtId="39" fontId="10" fillId="2" borderId="0" xfId="6" applyNumberFormat="1" applyFont="1"/>
    <xf numFmtId="4" fontId="15" fillId="2" borderId="0" xfId="6" applyNumberFormat="1" applyFont="1"/>
    <xf numFmtId="4" fontId="10" fillId="2" borderId="21" xfId="6" applyNumberFormat="1" applyFont="1" applyBorder="1" applyAlignment="1">
      <alignment vertical="center"/>
    </xf>
    <xf numFmtId="4" fontId="10" fillId="2" borderId="10" xfId="6" applyNumberFormat="1" applyFont="1" applyBorder="1" applyAlignment="1">
      <alignment vertical="center"/>
    </xf>
    <xf numFmtId="43" fontId="10" fillId="3" borderId="10" xfId="5" applyFont="1" applyFill="1" applyBorder="1" applyAlignment="1">
      <alignment horizontal="center" vertical="center"/>
    </xf>
    <xf numFmtId="43" fontId="10" fillId="3" borderId="1" xfId="5" applyFont="1" applyFill="1" applyBorder="1" applyAlignment="1">
      <alignment horizontal="center" vertical="center"/>
    </xf>
    <xf numFmtId="43" fontId="10" fillId="3" borderId="4" xfId="5" applyFont="1" applyFill="1" applyBorder="1" applyAlignment="1">
      <alignment horizontal="center" vertical="center"/>
    </xf>
    <xf numFmtId="0" fontId="34" fillId="2" borderId="95" xfId="6" applyFont="1" applyBorder="1" applyAlignment="1">
      <alignment horizontal="left" vertical="center" wrapText="1" indent="3"/>
    </xf>
    <xf numFmtId="43" fontId="10" fillId="2" borderId="8" xfId="5" applyFont="1" applyBorder="1" applyAlignment="1">
      <alignment horizontal="center" vertical="center"/>
    </xf>
    <xf numFmtId="0" fontId="34" fillId="2" borderId="116" xfId="6" applyFont="1" applyBorder="1" applyAlignment="1">
      <alignment horizontal="left" vertical="center" wrapText="1" indent="3"/>
    </xf>
    <xf numFmtId="0" fontId="10" fillId="2" borderId="53" xfId="6" applyFont="1" applyBorder="1" applyAlignment="1">
      <alignment horizontal="left" vertical="center" wrapText="1" indent="3"/>
    </xf>
    <xf numFmtId="43" fontId="10" fillId="2" borderId="1" xfId="5" applyFont="1" applyBorder="1" applyAlignment="1">
      <alignment horizontal="center" vertical="center"/>
    </xf>
    <xf numFmtId="165" fontId="10" fillId="2" borderId="147" xfId="5" applyNumberFormat="1" applyFont="1" applyBorder="1" applyAlignment="1">
      <alignment vertical="center"/>
    </xf>
    <xf numFmtId="0" fontId="20" fillId="2" borderId="95" xfId="6" applyFont="1" applyBorder="1" applyAlignment="1">
      <alignment horizontal="left" vertical="center" wrapText="1" indent="3"/>
    </xf>
    <xf numFmtId="0" fontId="34" fillId="2" borderId="182" xfId="6" applyFont="1" applyBorder="1" applyAlignment="1">
      <alignment horizontal="left" vertical="center" wrapText="1" indent="3"/>
    </xf>
    <xf numFmtId="43" fontId="10" fillId="2" borderId="181" xfId="5" applyFont="1" applyBorder="1" applyAlignment="1">
      <alignment vertical="center"/>
    </xf>
    <xf numFmtId="0" fontId="34" fillId="2" borderId="0" xfId="6" applyFont="1" applyAlignment="1">
      <alignment horizontal="left" vertical="center" wrapText="1" indent="3"/>
    </xf>
    <xf numFmtId="165" fontId="10" fillId="2" borderId="133" xfId="5" applyNumberFormat="1" applyFont="1" applyBorder="1" applyAlignment="1">
      <alignment vertical="center"/>
    </xf>
    <xf numFmtId="0" fontId="34" fillId="2" borderId="183" xfId="6" applyFont="1" applyBorder="1" applyAlignment="1">
      <alignment horizontal="left" vertical="center" wrapText="1" indent="3"/>
    </xf>
    <xf numFmtId="165" fontId="10" fillId="2" borderId="143" xfId="5" applyNumberFormat="1" applyFont="1" applyBorder="1" applyAlignment="1">
      <alignment vertical="center"/>
    </xf>
    <xf numFmtId="165" fontId="10" fillId="2" borderId="134" xfId="5" applyNumberFormat="1" applyFont="1" applyBorder="1" applyAlignment="1">
      <alignment vertical="center"/>
    </xf>
    <xf numFmtId="171" fontId="21" fillId="2" borderId="135" xfId="6" applyNumberFormat="1" applyFont="1" applyBorder="1" applyAlignment="1">
      <alignment vertical="center"/>
    </xf>
    <xf numFmtId="43" fontId="15" fillId="2" borderId="35" xfId="5" applyFont="1" applyBorder="1" applyAlignment="1">
      <alignment vertical="center"/>
    </xf>
    <xf numFmtId="43" fontId="15" fillId="3" borderId="35" xfId="5" applyFont="1" applyFill="1" applyBorder="1" applyAlignment="1">
      <alignment vertical="center"/>
    </xf>
    <xf numFmtId="43" fontId="15" fillId="3" borderId="36" xfId="5" applyFont="1" applyFill="1" applyBorder="1" applyAlignment="1">
      <alignment vertical="center"/>
    </xf>
    <xf numFmtId="43" fontId="15" fillId="2" borderId="11" xfId="5" applyFont="1" applyBorder="1" applyAlignment="1">
      <alignment vertical="center"/>
    </xf>
    <xf numFmtId="43" fontId="15" fillId="3" borderId="135" xfId="5" applyFont="1" applyFill="1" applyBorder="1" applyAlignment="1">
      <alignment vertical="center"/>
    </xf>
    <xf numFmtId="0" fontId="36" fillId="2" borderId="31" xfId="6" applyFont="1" applyBorder="1" applyAlignment="1">
      <alignment horizontal="left" vertical="center" wrapText="1" indent="1"/>
    </xf>
    <xf numFmtId="43" fontId="10" fillId="3" borderId="135" xfId="5" applyFont="1" applyFill="1" applyBorder="1" applyAlignment="1">
      <alignment vertical="center"/>
    </xf>
    <xf numFmtId="0" fontId="15" fillId="2" borderId="31" xfId="6" applyFont="1" applyBorder="1" applyAlignment="1">
      <alignment horizontal="center" vertical="center"/>
    </xf>
    <xf numFmtId="165" fontId="15" fillId="3" borderId="11" xfId="5" applyNumberFormat="1" applyFont="1" applyFill="1" applyBorder="1" applyAlignment="1">
      <alignment vertical="center"/>
    </xf>
    <xf numFmtId="165" fontId="15" fillId="3" borderId="94" xfId="5" applyNumberFormat="1" applyFont="1" applyFill="1" applyBorder="1" applyAlignment="1">
      <alignment vertical="center"/>
    </xf>
    <xf numFmtId="165" fontId="15" fillId="3" borderId="135" xfId="5" applyNumberFormat="1" applyFont="1" applyFill="1" applyBorder="1" applyAlignment="1">
      <alignment vertical="center"/>
    </xf>
    <xf numFmtId="173" fontId="10" fillId="2" borderId="11" xfId="6" applyNumberFormat="1" applyFont="1" applyBorder="1" applyAlignment="1">
      <alignment vertical="center"/>
    </xf>
    <xf numFmtId="0" fontId="15" fillId="2" borderId="136" xfId="6" applyFont="1" applyBorder="1" applyAlignment="1">
      <alignment horizontal="left" vertical="center" indent="1"/>
    </xf>
    <xf numFmtId="1" fontId="10" fillId="2" borderId="13" xfId="6" applyNumberFormat="1" applyFont="1" applyBorder="1" applyAlignment="1">
      <alignment horizontal="center" vertical="center"/>
    </xf>
    <xf numFmtId="0" fontId="10" fillId="2" borderId="136" xfId="6" applyFont="1" applyBorder="1" applyAlignment="1">
      <alignment horizontal="left" vertical="center" indent="2"/>
    </xf>
    <xf numFmtId="1" fontId="10" fillId="2" borderId="12" xfId="6" applyNumberFormat="1" applyFont="1" applyBorder="1" applyAlignment="1">
      <alignment horizontal="center" vertical="center"/>
    </xf>
    <xf numFmtId="43" fontId="10" fillId="2" borderId="48" xfId="5" applyFont="1" applyFill="1" applyBorder="1" applyAlignment="1">
      <alignment vertical="center"/>
    </xf>
    <xf numFmtId="0" fontId="15" fillId="2" borderId="126" xfId="6" applyFont="1" applyBorder="1" applyAlignment="1">
      <alignment horizontal="center" vertical="center"/>
    </xf>
    <xf numFmtId="1" fontId="15" fillId="2" borderId="60" xfId="6" applyNumberFormat="1" applyFont="1" applyBorder="1" applyAlignment="1">
      <alignment horizontal="center" vertical="center"/>
    </xf>
    <xf numFmtId="0" fontId="15" fillId="2" borderId="137" xfId="6" applyFont="1" applyBorder="1" applyAlignment="1">
      <alignment horizontal="left" vertical="center"/>
    </xf>
    <xf numFmtId="1" fontId="15" fillId="2" borderId="16" xfId="6" applyNumberFormat="1" applyFont="1" applyBorder="1" applyAlignment="1">
      <alignment horizontal="center" vertical="center"/>
    </xf>
    <xf numFmtId="39" fontId="15" fillId="2" borderId="60" xfId="6" applyNumberFormat="1" applyFont="1" applyBorder="1" applyAlignment="1">
      <alignment vertical="center"/>
    </xf>
    <xf numFmtId="0" fontId="15" fillId="2" borderId="138" xfId="6" applyFont="1" applyBorder="1" applyAlignment="1">
      <alignment horizontal="left" vertical="center"/>
    </xf>
    <xf numFmtId="0" fontId="10" fillId="2" borderId="5" xfId="6" applyFont="1" applyBorder="1" applyAlignment="1">
      <alignment horizontal="center" vertical="center"/>
    </xf>
    <xf numFmtId="0" fontId="10" fillId="2" borderId="139" xfId="6" applyFont="1" applyBorder="1" applyAlignment="1">
      <alignment horizontal="left" vertical="center" indent="2"/>
    </xf>
    <xf numFmtId="37" fontId="10" fillId="2" borderId="5" xfId="6" applyNumberFormat="1" applyFont="1" applyBorder="1" applyAlignment="1">
      <alignment horizontal="center" vertical="center"/>
    </xf>
    <xf numFmtId="167" fontId="10" fillId="2" borderId="0" xfId="6" applyNumberFormat="1" applyFont="1"/>
    <xf numFmtId="0" fontId="10" fillId="2" borderId="0" xfId="6" applyFont="1" applyAlignment="1">
      <alignment horizontal="center" wrapText="1"/>
    </xf>
    <xf numFmtId="4" fontId="25" fillId="2" borderId="0" xfId="6" applyNumberFormat="1" applyFont="1" applyAlignment="1">
      <alignment vertical="center"/>
    </xf>
    <xf numFmtId="49" fontId="22" fillId="3" borderId="19" xfId="6" applyNumberFormat="1" applyFont="1" applyFill="1" applyBorder="1" applyAlignment="1">
      <alignment horizontal="center"/>
    </xf>
    <xf numFmtId="4" fontId="21" fillId="2" borderId="21" xfId="6" applyNumberFormat="1" applyFont="1" applyBorder="1" applyAlignment="1">
      <alignment vertical="center"/>
    </xf>
    <xf numFmtId="4" fontId="21" fillId="2" borderId="10" xfId="6" applyNumberFormat="1" applyFont="1" applyBorder="1" applyAlignment="1">
      <alignment vertical="center"/>
    </xf>
    <xf numFmtId="0" fontId="34" fillId="3" borderId="23" xfId="6" applyFont="1" applyFill="1" applyBorder="1" applyAlignment="1">
      <alignment horizontal="left" vertical="center" indent="2"/>
    </xf>
    <xf numFmtId="171" fontId="34" fillId="2" borderId="25" xfId="6" applyNumberFormat="1" applyFont="1" applyBorder="1" applyAlignment="1">
      <alignment vertical="center"/>
    </xf>
    <xf numFmtId="4" fontId="21" fillId="2" borderId="11" xfId="6" applyNumberFormat="1" applyFont="1" applyBorder="1"/>
    <xf numFmtId="1" fontId="21" fillId="3" borderId="8" xfId="6" applyNumberFormat="1" applyFont="1" applyFill="1" applyBorder="1" applyAlignment="1">
      <alignment horizontal="center" vertical="center"/>
    </xf>
    <xf numFmtId="171" fontId="21" fillId="2" borderId="47" xfId="6" applyNumberFormat="1" applyFont="1" applyBorder="1" applyAlignment="1">
      <alignment vertical="center"/>
    </xf>
    <xf numFmtId="171" fontId="21" fillId="2" borderId="96" xfId="6" applyNumberFormat="1" applyFont="1" applyBorder="1" applyAlignment="1">
      <alignment vertical="center"/>
    </xf>
    <xf numFmtId="171" fontId="21" fillId="2" borderId="129" xfId="6" applyNumberFormat="1" applyFont="1" applyBorder="1" applyAlignment="1">
      <alignment vertical="center"/>
    </xf>
    <xf numFmtId="171" fontId="21" fillId="2" borderId="115" xfId="6" applyNumberFormat="1" applyFont="1" applyBorder="1" applyAlignment="1">
      <alignment vertical="center"/>
    </xf>
    <xf numFmtId="172" fontId="37" fillId="3" borderId="28" xfId="6" applyNumberFormat="1" applyFont="1" applyFill="1" applyBorder="1" applyAlignment="1">
      <alignment vertical="center"/>
    </xf>
    <xf numFmtId="4" fontId="21" fillId="2" borderId="4" xfId="6" applyNumberFormat="1" applyFont="1" applyBorder="1" applyAlignment="1">
      <alignment vertical="center"/>
    </xf>
    <xf numFmtId="171" fontId="21" fillId="2" borderId="58" xfId="6" applyNumberFormat="1" applyFont="1" applyBorder="1" applyAlignment="1">
      <alignment vertical="center"/>
    </xf>
    <xf numFmtId="0" fontId="21" fillId="2" borderId="30" xfId="6" applyFont="1" applyBorder="1" applyAlignment="1">
      <alignment vertical="center"/>
    </xf>
    <xf numFmtId="171" fontId="21" fillId="3" borderId="10" xfId="6" applyNumberFormat="1" applyFont="1" applyFill="1" applyBorder="1" applyAlignment="1">
      <alignment vertical="center"/>
    </xf>
    <xf numFmtId="174" fontId="21" fillId="2" borderId="4" xfId="6" applyNumberFormat="1" applyFont="1" applyBorder="1" applyAlignment="1">
      <alignment horizontal="center" vertical="center"/>
    </xf>
    <xf numFmtId="4" fontId="21" fillId="2" borderId="0" xfId="6" applyNumberFormat="1" applyFont="1"/>
    <xf numFmtId="0" fontId="22" fillId="2" borderId="0" xfId="6" applyFont="1" applyAlignment="1">
      <alignment horizontal="left"/>
    </xf>
    <xf numFmtId="0" fontId="38" fillId="2" borderId="0" xfId="6" applyFont="1" applyAlignment="1">
      <alignment horizontal="left" vertical="center" wrapText="1"/>
    </xf>
    <xf numFmtId="0" fontId="21" fillId="2" borderId="0" xfId="6" applyFont="1" applyAlignment="1">
      <alignment horizontal="left"/>
    </xf>
    <xf numFmtId="0" fontId="21" fillId="2" borderId="0" xfId="6" applyFont="1" applyAlignment="1">
      <alignment horizontal="left" vertical="center" wrapText="1"/>
    </xf>
    <xf numFmtId="0" fontId="21" fillId="2" borderId="0" xfId="6" applyFont="1" applyAlignment="1">
      <alignment horizontal="left" vertical="center"/>
    </xf>
    <xf numFmtId="174" fontId="21" fillId="2" borderId="0" xfId="6" applyNumberFormat="1" applyFont="1" applyAlignment="1">
      <alignment horizontal="center" vertical="center"/>
    </xf>
    <xf numFmtId="171" fontId="21" fillId="2" borderId="0" xfId="6" applyNumberFormat="1" applyFont="1" applyAlignment="1">
      <alignment vertical="center"/>
    </xf>
    <xf numFmtId="0" fontId="10" fillId="2" borderId="134" xfId="6" applyFont="1" applyBorder="1" applyAlignment="1">
      <alignment vertical="center"/>
    </xf>
    <xf numFmtId="4" fontId="10" fillId="2" borderId="135" xfId="6" applyNumberFormat="1" applyFont="1" applyBorder="1" applyAlignment="1">
      <alignment vertical="center"/>
    </xf>
    <xf numFmtId="0" fontId="10" fillId="2" borderId="31" xfId="6" applyFont="1" applyBorder="1" applyAlignment="1">
      <alignment horizontal="left" vertical="center" wrapText="1" indent="3"/>
    </xf>
    <xf numFmtId="1" fontId="39" fillId="2" borderId="11" xfId="6" applyNumberFormat="1" applyFont="1" applyBorder="1" applyAlignment="1">
      <alignment horizontal="center" vertical="center"/>
    </xf>
    <xf numFmtId="43" fontId="10" fillId="2" borderId="67" xfId="5" applyFont="1" applyFill="1" applyBorder="1" applyAlignment="1">
      <alignment vertical="center"/>
    </xf>
    <xf numFmtId="1" fontId="10" fillId="2" borderId="43" xfId="6" applyNumberFormat="1" applyFont="1" applyBorder="1" applyAlignment="1">
      <alignment horizontal="center" vertical="center"/>
    </xf>
    <xf numFmtId="1" fontId="10" fillId="2" borderId="57" xfId="6" applyNumberFormat="1" applyFont="1" applyBorder="1" applyAlignment="1">
      <alignment horizontal="center" vertical="center"/>
    </xf>
    <xf numFmtId="0" fontId="10" fillId="6" borderId="23" xfId="6" applyFont="1" applyFill="1" applyBorder="1" applyAlignment="1">
      <alignment horizontal="left" vertical="center" indent="2"/>
    </xf>
    <xf numFmtId="0" fontId="34" fillId="6" borderId="32" xfId="6" applyFont="1" applyFill="1" applyBorder="1" applyAlignment="1">
      <alignment horizontal="left" vertical="center" wrapText="1" indent="3"/>
    </xf>
    <xf numFmtId="0" fontId="34" fillId="6" borderId="32" xfId="6" applyFont="1" applyFill="1" applyBorder="1" applyAlignment="1">
      <alignment horizontal="left" vertical="center" indent="3"/>
    </xf>
    <xf numFmtId="0" fontId="34" fillId="2" borderId="32" xfId="6" applyFont="1" applyBorder="1" applyAlignment="1">
      <alignment horizontal="left" vertical="center" indent="3"/>
    </xf>
    <xf numFmtId="0" fontId="34" fillId="2" borderId="184" xfId="6" applyFont="1" applyBorder="1" applyAlignment="1">
      <alignment horizontal="left" vertical="center" indent="3"/>
    </xf>
    <xf numFmtId="1" fontId="10" fillId="2" borderId="87" xfId="6" applyNumberFormat="1" applyFont="1" applyBorder="1" applyAlignment="1">
      <alignment horizontal="center" vertical="center"/>
    </xf>
    <xf numFmtId="0" fontId="48" fillId="5" borderId="0" xfId="0" applyFont="1" applyFill="1"/>
    <xf numFmtId="164" fontId="46" fillId="5" borderId="117" xfId="3" applyFont="1" applyFill="1" applyBorder="1" applyAlignment="1">
      <alignment horizontal="center" wrapText="1"/>
    </xf>
    <xf numFmtId="164" fontId="49" fillId="5" borderId="117" xfId="3" applyFont="1" applyFill="1" applyBorder="1" applyAlignment="1">
      <alignment horizontal="center" vertical="center" wrapText="1"/>
    </xf>
    <xf numFmtId="164" fontId="46" fillId="5" borderId="185" xfId="3" applyFont="1" applyFill="1" applyBorder="1" applyAlignment="1">
      <alignment horizontal="center" vertical="top" wrapText="1"/>
    </xf>
    <xf numFmtId="0" fontId="47" fillId="5" borderId="118" xfId="0" quotePrefix="1" applyFont="1" applyFill="1" applyBorder="1" applyAlignment="1">
      <alignment horizontal="center" vertical="center"/>
    </xf>
    <xf numFmtId="164" fontId="47" fillId="5" borderId="118" xfId="3" quotePrefix="1" applyFont="1" applyFill="1" applyBorder="1" applyAlignment="1">
      <alignment horizontal="center" vertical="center"/>
    </xf>
    <xf numFmtId="0" fontId="51" fillId="5" borderId="186" xfId="7" applyFont="1" applyFill="1" applyBorder="1" applyAlignment="1">
      <alignment horizontal="left" vertical="center"/>
    </xf>
    <xf numFmtId="0" fontId="52" fillId="2" borderId="96" xfId="7" applyFont="1" applyBorder="1"/>
    <xf numFmtId="39" fontId="52" fillId="2" borderId="96" xfId="7" applyNumberFormat="1" applyFont="1" applyBorder="1"/>
    <xf numFmtId="39" fontId="53" fillId="2" borderId="96" xfId="3" applyNumberFormat="1" applyFont="1" applyFill="1" applyBorder="1" applyAlignment="1">
      <alignment vertical="center"/>
    </xf>
    <xf numFmtId="39" fontId="53" fillId="2" borderId="187" xfId="3" applyNumberFormat="1" applyFont="1" applyFill="1" applyBorder="1" applyAlignment="1">
      <alignment vertical="center"/>
    </xf>
    <xf numFmtId="0" fontId="52" fillId="2" borderId="0" xfId="7" applyFont="1"/>
    <xf numFmtId="0" fontId="51" fillId="5" borderId="186" xfId="0" applyFont="1" applyFill="1" applyBorder="1" applyAlignment="1">
      <alignment horizontal="left" vertical="center" indent="2"/>
    </xf>
    <xf numFmtId="0" fontId="54" fillId="5" borderId="188" xfId="0" applyFont="1" applyFill="1" applyBorder="1" applyAlignment="1">
      <alignment horizontal="center" vertical="center"/>
    </xf>
    <xf numFmtId="4" fontId="48" fillId="2" borderId="169" xfId="0" applyNumberFormat="1" applyFont="1" applyFill="1" applyBorder="1" applyAlignment="1">
      <alignment vertical="center"/>
    </xf>
    <xf numFmtId="4" fontId="48" fillId="5" borderId="169" xfId="0" applyNumberFormat="1" applyFont="1" applyFill="1" applyBorder="1" applyAlignment="1">
      <alignment vertical="center"/>
    </xf>
    <xf numFmtId="0" fontId="48" fillId="5" borderId="188" xfId="0" applyFont="1" applyFill="1" applyBorder="1" applyAlignment="1">
      <alignment vertical="center"/>
    </xf>
    <xf numFmtId="0" fontId="48" fillId="5" borderId="187" xfId="0" applyFont="1" applyFill="1" applyBorder="1" applyAlignment="1">
      <alignment vertical="center"/>
    </xf>
    <xf numFmtId="0" fontId="47" fillId="5" borderId="189" xfId="0" applyFont="1" applyFill="1" applyBorder="1" applyAlignment="1">
      <alignment horizontal="left" vertical="center" indent="3"/>
    </xf>
    <xf numFmtId="39" fontId="54" fillId="5" borderId="190" xfId="0" applyNumberFormat="1" applyFont="1" applyFill="1" applyBorder="1" applyAlignment="1">
      <alignment vertical="center"/>
    </xf>
    <xf numFmtId="4" fontId="48" fillId="2" borderId="96" xfId="0" applyNumberFormat="1" applyFont="1" applyFill="1" applyBorder="1" applyAlignment="1">
      <alignment vertical="center"/>
    </xf>
    <xf numFmtId="4" fontId="48" fillId="5" borderId="96" xfId="0" applyNumberFormat="1" applyFont="1" applyFill="1" applyBorder="1" applyAlignment="1">
      <alignment vertical="center"/>
    </xf>
    <xf numFmtId="39" fontId="48" fillId="5" borderId="190" xfId="0" applyNumberFormat="1" applyFont="1" applyFill="1" applyBorder="1" applyAlignment="1">
      <alignment vertical="center"/>
    </xf>
    <xf numFmtId="39" fontId="48" fillId="5" borderId="187" xfId="0" applyNumberFormat="1" applyFont="1" applyFill="1" applyBorder="1" applyAlignment="1">
      <alignment vertical="center"/>
    </xf>
    <xf numFmtId="0" fontId="48" fillId="5" borderId="189" xfId="0" applyFont="1" applyFill="1" applyBorder="1" applyAlignment="1">
      <alignment horizontal="left" vertical="center" indent="4"/>
    </xf>
    <xf numFmtId="1" fontId="48" fillId="5" borderId="190" xfId="0" applyNumberFormat="1" applyFont="1" applyFill="1" applyBorder="1" applyAlignment="1">
      <alignment horizontal="center" vertical="center"/>
    </xf>
    <xf numFmtId="39" fontId="48" fillId="2" borderId="96" xfId="0" applyNumberFormat="1" applyFont="1" applyFill="1" applyBorder="1" applyAlignment="1">
      <alignment vertical="center"/>
    </xf>
    <xf numFmtId="39" fontId="48" fillId="0" borderId="96" xfId="0" applyNumberFormat="1" applyFont="1" applyBorder="1" applyAlignment="1">
      <alignment vertical="center"/>
    </xf>
    <xf numFmtId="39" fontId="48" fillId="0" borderId="190" xfId="0" applyNumberFormat="1" applyFont="1" applyBorder="1" applyAlignment="1">
      <alignment vertical="center"/>
    </xf>
    <xf numFmtId="39" fontId="48" fillId="0" borderId="187" xfId="0" applyNumberFormat="1" applyFont="1" applyBorder="1" applyAlignment="1">
      <alignment vertical="center"/>
    </xf>
    <xf numFmtId="0" fontId="48" fillId="5" borderId="191" xfId="0" applyFont="1" applyFill="1" applyBorder="1" applyAlignment="1">
      <alignment horizontal="left" vertical="center" indent="4"/>
    </xf>
    <xf numFmtId="1" fontId="48" fillId="5" borderId="96" xfId="0" applyNumberFormat="1" applyFont="1" applyFill="1" applyBorder="1" applyAlignment="1">
      <alignment horizontal="center" vertical="center"/>
    </xf>
    <xf numFmtId="1" fontId="48" fillId="5" borderId="192" xfId="0" applyNumberFormat="1" applyFont="1" applyFill="1" applyBorder="1" applyAlignment="1">
      <alignment horizontal="center" vertical="center"/>
    </xf>
    <xf numFmtId="39" fontId="48" fillId="0" borderId="193" xfId="0" applyNumberFormat="1" applyFont="1" applyBorder="1" applyAlignment="1">
      <alignment vertical="center"/>
    </xf>
    <xf numFmtId="0" fontId="51" fillId="5" borderId="90" xfId="7" applyFont="1" applyFill="1" applyBorder="1" applyAlignment="1">
      <alignment horizontal="center" vertical="center"/>
    </xf>
    <xf numFmtId="0" fontId="52" fillId="2" borderId="90" xfId="7" applyFont="1" applyBorder="1"/>
    <xf numFmtId="39" fontId="47" fillId="2" borderId="90" xfId="3" applyNumberFormat="1" applyFont="1" applyFill="1" applyBorder="1" applyAlignment="1">
      <alignment horizontal="right" vertical="center"/>
    </xf>
    <xf numFmtId="0" fontId="51" fillId="5" borderId="194" xfId="0" applyFont="1" applyFill="1" applyBorder="1" applyAlignment="1">
      <alignment horizontal="left" vertical="center" indent="2"/>
    </xf>
    <xf numFmtId="0" fontId="54" fillId="5" borderId="195" xfId="0" applyFont="1" applyFill="1" applyBorder="1" applyAlignment="1">
      <alignment horizontal="center" vertical="center"/>
    </xf>
    <xf numFmtId="4" fontId="48" fillId="2" borderId="195" xfId="0" applyNumberFormat="1" applyFont="1" applyFill="1" applyBorder="1" applyAlignment="1">
      <alignment vertical="center"/>
    </xf>
    <xf numFmtId="4" fontId="48" fillId="5" borderId="195" xfId="0" applyNumberFormat="1" applyFont="1" applyFill="1" applyBorder="1" applyAlignment="1">
      <alignment vertical="center"/>
    </xf>
    <xf numFmtId="39" fontId="48" fillId="5" borderId="195" xfId="0" applyNumberFormat="1" applyFont="1" applyFill="1" applyBorder="1" applyAlignment="1">
      <alignment vertical="center"/>
    </xf>
    <xf numFmtId="39" fontId="48" fillId="5" borderId="196" xfId="0" applyNumberFormat="1" applyFont="1" applyFill="1" applyBorder="1" applyAlignment="1">
      <alignment vertical="center"/>
    </xf>
    <xf numFmtId="0" fontId="48" fillId="5" borderId="189" xfId="0" applyFont="1" applyFill="1" applyBorder="1" applyAlignment="1">
      <alignment horizontal="left" vertical="center" indent="3"/>
    </xf>
    <xf numFmtId="39" fontId="48" fillId="0" borderId="174" xfId="0" applyNumberFormat="1" applyFont="1" applyBorder="1" applyAlignment="1">
      <alignment vertical="center"/>
    </xf>
    <xf numFmtId="0" fontId="56" fillId="5" borderId="189" xfId="0" applyFont="1" applyFill="1" applyBorder="1" applyAlignment="1">
      <alignment horizontal="left" vertical="center" indent="3"/>
    </xf>
    <xf numFmtId="0" fontId="48" fillId="5" borderId="169" xfId="0" applyFont="1" applyFill="1" applyBorder="1" applyAlignment="1">
      <alignment vertical="center"/>
    </xf>
    <xf numFmtId="0" fontId="48" fillId="5" borderId="197" xfId="0" applyFont="1" applyFill="1" applyBorder="1" applyAlignment="1">
      <alignment vertical="center"/>
    </xf>
    <xf numFmtId="0" fontId="48" fillId="0" borderId="186" xfId="0" applyFont="1" applyBorder="1" applyAlignment="1">
      <alignment horizontal="left" vertical="center" indent="3"/>
    </xf>
    <xf numFmtId="1" fontId="48" fillId="5" borderId="188" xfId="0" applyNumberFormat="1" applyFont="1" applyFill="1" applyBorder="1" applyAlignment="1">
      <alignment horizontal="center" vertical="center"/>
    </xf>
    <xf numFmtId="39" fontId="48" fillId="2" borderId="190" xfId="0" applyNumberFormat="1" applyFont="1" applyFill="1" applyBorder="1" applyAlignment="1">
      <alignment vertical="center"/>
    </xf>
    <xf numFmtId="0" fontId="34" fillId="5" borderId="198" xfId="0" applyFont="1" applyFill="1" applyBorder="1" applyAlignment="1">
      <alignment horizontal="left" vertical="center" indent="3"/>
    </xf>
    <xf numFmtId="1" fontId="34" fillId="5" borderId="199" xfId="0" applyNumberFormat="1" applyFont="1" applyFill="1" applyBorder="1" applyAlignment="1">
      <alignment horizontal="center" vertical="center"/>
    </xf>
    <xf numFmtId="0" fontId="20" fillId="5" borderId="189" xfId="0" applyFont="1" applyFill="1" applyBorder="1" applyAlignment="1">
      <alignment horizontal="left" vertical="center" indent="3"/>
    </xf>
    <xf numFmtId="1" fontId="20" fillId="5" borderId="96" xfId="3" applyNumberFormat="1" applyFont="1" applyFill="1" applyBorder="1" applyAlignment="1">
      <alignment horizontal="center" vertical="center"/>
    </xf>
    <xf numFmtId="39" fontId="48" fillId="5" borderId="96" xfId="0" applyNumberFormat="1" applyFont="1" applyFill="1" applyBorder="1" applyAlignment="1">
      <alignment vertical="center"/>
    </xf>
    <xf numFmtId="39" fontId="48" fillId="5" borderId="175" xfId="0" applyNumberFormat="1" applyFont="1" applyFill="1" applyBorder="1" applyAlignment="1">
      <alignment vertical="center"/>
    </xf>
    <xf numFmtId="39" fontId="48" fillId="5" borderId="169" xfId="0" applyNumberFormat="1" applyFont="1" applyFill="1" applyBorder="1" applyAlignment="1">
      <alignment vertical="center"/>
    </xf>
    <xf numFmtId="39" fontId="48" fillId="5" borderId="197" xfId="0" applyNumberFormat="1" applyFont="1" applyFill="1" applyBorder="1" applyAlignment="1">
      <alignment vertical="center"/>
    </xf>
    <xf numFmtId="37" fontId="54" fillId="0" borderId="188" xfId="0" applyNumberFormat="1" applyFont="1" applyBorder="1" applyAlignment="1">
      <alignment horizontal="center" vertical="center"/>
    </xf>
    <xf numFmtId="0" fontId="34" fillId="5" borderId="189" xfId="0" applyFont="1" applyFill="1" applyBorder="1" applyAlignment="1">
      <alignment horizontal="left" vertical="center" wrapText="1" indent="3"/>
    </xf>
    <xf numFmtId="0" fontId="54" fillId="5" borderId="96" xfId="0" applyFont="1" applyFill="1" applyBorder="1" applyAlignment="1">
      <alignment vertical="center"/>
    </xf>
    <xf numFmtId="39" fontId="48" fillId="0" borderId="199" xfId="0" applyNumberFormat="1" applyFont="1" applyBorder="1" applyAlignment="1">
      <alignment vertical="center"/>
    </xf>
    <xf numFmtId="0" fontId="51" fillId="5" borderId="200" xfId="7" applyFont="1" applyFill="1" applyBorder="1" applyAlignment="1">
      <alignment horizontal="center" vertical="center"/>
    </xf>
    <xf numFmtId="0" fontId="52" fillId="2" borderId="200" xfId="7" applyFont="1" applyBorder="1"/>
    <xf numFmtId="39" fontId="53" fillId="2" borderId="200" xfId="3" applyNumberFormat="1" applyFont="1" applyFill="1" applyBorder="1" applyAlignment="1">
      <alignment horizontal="right" vertical="center"/>
    </xf>
    <xf numFmtId="0" fontId="51" fillId="5" borderId="0" xfId="7" applyFont="1" applyFill="1" applyAlignment="1">
      <alignment horizontal="center" vertical="center"/>
    </xf>
    <xf numFmtId="39" fontId="53" fillId="2" borderId="0" xfId="3" applyNumberFormat="1" applyFont="1" applyFill="1" applyBorder="1" applyAlignment="1">
      <alignment horizontal="right" vertical="center"/>
    </xf>
    <xf numFmtId="0" fontId="56" fillId="5" borderId="0" xfId="0" applyFont="1" applyFill="1"/>
    <xf numFmtId="0" fontId="47" fillId="0" borderId="0" xfId="0" applyFont="1" applyAlignment="1">
      <alignment horizontal="left" vertical="center"/>
    </xf>
    <xf numFmtId="0" fontId="47" fillId="0" borderId="0" xfId="0" applyFont="1" applyAlignment="1">
      <alignment horizontal="center" vertical="center"/>
    </xf>
    <xf numFmtId="164" fontId="47" fillId="2" borderId="0" xfId="3" applyFont="1" applyFill="1" applyBorder="1" applyAlignment="1">
      <alignment horizontal="center" vertical="center"/>
    </xf>
    <xf numFmtId="164" fontId="47" fillId="0" borderId="0" xfId="3" applyFont="1" applyBorder="1" applyAlignment="1">
      <alignment horizontal="center" vertical="center"/>
    </xf>
    <xf numFmtId="39" fontId="4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56" fillId="2" borderId="0" xfId="0" applyFont="1" applyFill="1"/>
    <xf numFmtId="164" fontId="47" fillId="0" borderId="0" xfId="0" applyNumberFormat="1" applyFont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58" fillId="2" borderId="0" xfId="0" applyFont="1" applyFill="1"/>
    <xf numFmtId="0" fontId="52" fillId="2" borderId="0" xfId="0" applyFont="1" applyFill="1"/>
    <xf numFmtId="0" fontId="34" fillId="0" borderId="0" xfId="0" applyFont="1" applyAlignment="1">
      <alignment horizontal="left" indent="21"/>
    </xf>
    <xf numFmtId="0" fontId="34" fillId="0" borderId="0" xfId="0" applyFont="1" applyAlignment="1">
      <alignment horizontal="center"/>
    </xf>
    <xf numFmtId="0" fontId="34" fillId="2" borderId="0" xfId="0" applyFont="1" applyFill="1" applyAlignment="1">
      <alignment horizontal="left" indent="4"/>
    </xf>
    <xf numFmtId="4" fontId="56" fillId="5" borderId="0" xfId="0" applyNumberFormat="1" applyFont="1" applyFill="1"/>
    <xf numFmtId="0" fontId="54" fillId="5" borderId="0" xfId="0" applyFont="1" applyFill="1"/>
    <xf numFmtId="4" fontId="56" fillId="2" borderId="0" xfId="0" applyNumberFormat="1" applyFont="1" applyFill="1"/>
    <xf numFmtId="4" fontId="51" fillId="5" borderId="0" xfId="0" applyNumberFormat="1" applyFont="1" applyFill="1"/>
    <xf numFmtId="0" fontId="51" fillId="5" borderId="0" xfId="0" applyFont="1" applyFill="1" applyAlignment="1">
      <alignment horizontal="center"/>
    </xf>
    <xf numFmtId="0" fontId="46" fillId="5" borderId="0" xfId="0" applyFont="1" applyFill="1" applyAlignment="1">
      <alignment horizontal="center" vertical="center" wrapText="1"/>
    </xf>
    <xf numFmtId="0" fontId="46" fillId="2" borderId="0" xfId="0" applyFont="1" applyFill="1" applyAlignment="1">
      <alignment horizontal="center" vertical="center" wrapText="1"/>
    </xf>
    <xf numFmtId="0" fontId="58" fillId="5" borderId="0" xfId="0" applyFont="1" applyFill="1" applyAlignment="1">
      <alignment horizontal="center"/>
    </xf>
    <xf numFmtId="0" fontId="56" fillId="5" borderId="0" xfId="0" applyFont="1" applyFill="1" applyAlignment="1">
      <alignment horizontal="center" vertical="center" wrapText="1"/>
    </xf>
    <xf numFmtId="4" fontId="48" fillId="2" borderId="0" xfId="0" applyNumberFormat="1" applyFont="1" applyFill="1"/>
    <xf numFmtId="4" fontId="48" fillId="5" borderId="0" xfId="0" applyNumberFormat="1" applyFont="1" applyFill="1"/>
    <xf numFmtId="0" fontId="56" fillId="5" borderId="0" xfId="0" applyFont="1" applyFill="1" applyAlignment="1">
      <alignment horizontal="center" vertical="center" wrapText="1"/>
    </xf>
    <xf numFmtId="0" fontId="58" fillId="5" borderId="0" xfId="0" applyFont="1" applyFill="1" applyAlignment="1">
      <alignment horizontal="center"/>
    </xf>
    <xf numFmtId="0" fontId="51" fillId="5" borderId="0" xfId="0" applyFont="1" applyFill="1" applyAlignment="1">
      <alignment horizontal="center"/>
    </xf>
    <xf numFmtId="0" fontId="52" fillId="5" borderId="0" xfId="0" applyFont="1" applyFill="1" applyAlignment="1">
      <alignment horizontal="center"/>
    </xf>
    <xf numFmtId="0" fontId="57" fillId="0" borderId="0" xfId="0" applyFont="1" applyAlignment="1">
      <alignment horizontal="center"/>
    </xf>
    <xf numFmtId="0" fontId="59" fillId="0" borderId="0" xfId="0" applyFont="1" applyAlignment="1">
      <alignment horizontal="center"/>
    </xf>
    <xf numFmtId="0" fontId="46" fillId="5" borderId="0" xfId="0" applyFont="1" applyFill="1" applyAlignment="1">
      <alignment horizontal="center" vertical="center" wrapText="1"/>
    </xf>
    <xf numFmtId="0" fontId="51" fillId="0" borderId="0" xfId="0" applyFont="1" applyAlignment="1">
      <alignment horizontal="left" vertical="center" wrapText="1" indent="3"/>
    </xf>
    <xf numFmtId="0" fontId="57" fillId="0" borderId="0" xfId="0" applyFont="1" applyAlignment="1">
      <alignment horizontal="center" vertical="center" wrapText="1"/>
    </xf>
    <xf numFmtId="0" fontId="59" fillId="0" borderId="0" xfId="0" applyFont="1" applyAlignment="1">
      <alignment horizontal="center" vertical="center"/>
    </xf>
    <xf numFmtId="0" fontId="44" fillId="5" borderId="117" xfId="0" applyFont="1" applyFill="1" applyBorder="1" applyAlignment="1">
      <alignment horizontal="center" vertical="center" wrapText="1"/>
    </xf>
    <xf numFmtId="0" fontId="44" fillId="5" borderId="185" xfId="0" applyFont="1" applyFill="1" applyBorder="1" applyAlignment="1">
      <alignment horizontal="center" vertical="center" wrapText="1"/>
    </xf>
    <xf numFmtId="0" fontId="45" fillId="5" borderId="117" xfId="0" applyFont="1" applyFill="1" applyBorder="1" applyAlignment="1">
      <alignment horizontal="center" vertical="center" wrapText="1"/>
    </xf>
    <xf numFmtId="0" fontId="45" fillId="5" borderId="185" xfId="0" applyFont="1" applyFill="1" applyBorder="1" applyAlignment="1">
      <alignment horizontal="center" vertical="center" wrapText="1"/>
    </xf>
    <xf numFmtId="164" fontId="46" fillId="5" borderId="117" xfId="3" applyFont="1" applyFill="1" applyBorder="1" applyAlignment="1">
      <alignment horizontal="center" vertical="center" wrapText="1"/>
    </xf>
    <xf numFmtId="164" fontId="46" fillId="5" borderId="185" xfId="3" applyFont="1" applyFill="1" applyBorder="1" applyAlignment="1">
      <alignment horizontal="center" vertical="center" wrapText="1"/>
    </xf>
    <xf numFmtId="0" fontId="47" fillId="5" borderId="119" xfId="0" applyFont="1" applyFill="1" applyBorder="1" applyAlignment="1">
      <alignment horizontal="center" vertical="center" wrapText="1"/>
    </xf>
    <xf numFmtId="0" fontId="47" fillId="5" borderId="120" xfId="0" applyFont="1" applyFill="1" applyBorder="1" applyAlignment="1">
      <alignment horizontal="center" vertical="center" wrapText="1"/>
    </xf>
    <xf numFmtId="0" fontId="47" fillId="5" borderId="121" xfId="0" applyFont="1" applyFill="1" applyBorder="1" applyAlignment="1">
      <alignment horizontal="center" vertical="center" wrapText="1"/>
    </xf>
    <xf numFmtId="0" fontId="46" fillId="5" borderId="117" xfId="0" applyFont="1" applyFill="1" applyBorder="1" applyAlignment="1">
      <alignment horizontal="center" vertical="center" wrapText="1"/>
    </xf>
    <xf numFmtId="0" fontId="46" fillId="5" borderId="18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12" fillId="2" borderId="0" xfId="4" applyFont="1" applyAlignment="1">
      <alignment horizontal="center" vertical="center"/>
    </xf>
    <xf numFmtId="0" fontId="1" fillId="2" borderId="0" xfId="4"/>
    <xf numFmtId="0" fontId="15" fillId="2" borderId="0" xfId="4" applyFont="1" applyAlignment="1">
      <alignment horizontal="center" vertical="center"/>
    </xf>
    <xf numFmtId="0" fontId="15" fillId="2" borderId="14" xfId="4" applyFont="1" applyBorder="1" applyAlignment="1">
      <alignment horizontal="center" vertical="center" wrapText="1"/>
    </xf>
    <xf numFmtId="0" fontId="16" fillId="2" borderId="18" xfId="4" applyFont="1" applyBorder="1"/>
    <xf numFmtId="164" fontId="15" fillId="2" borderId="14" xfId="4" applyNumberFormat="1" applyFont="1" applyBorder="1" applyAlignment="1">
      <alignment horizontal="center" vertical="center" wrapText="1"/>
    </xf>
    <xf numFmtId="0" fontId="15" fillId="2" borderId="15" xfId="4" applyFont="1" applyBorder="1" applyAlignment="1">
      <alignment horizontal="center" vertical="center" wrapText="1"/>
    </xf>
    <xf numFmtId="0" fontId="16" fillId="2" borderId="16" xfId="4" applyFont="1" applyBorder="1"/>
    <xf numFmtId="0" fontId="16" fillId="2" borderId="17" xfId="4" applyFont="1" applyBorder="1"/>
    <xf numFmtId="0" fontId="15" fillId="3" borderId="14" xfId="4" applyFont="1" applyFill="1" applyBorder="1" applyAlignment="1">
      <alignment horizontal="center" vertical="center" wrapText="1"/>
    </xf>
    <xf numFmtId="0" fontId="18" fillId="2" borderId="0" xfId="4" applyFont="1" applyAlignment="1">
      <alignment horizontal="center" vertical="center"/>
    </xf>
    <xf numFmtId="0" fontId="10" fillId="2" borderId="0" xfId="4" applyFont="1" applyAlignment="1">
      <alignment horizontal="center" vertical="center" wrapText="1"/>
    </xf>
    <xf numFmtId="0" fontId="10" fillId="2" borderId="0" xfId="4" applyFont="1" applyAlignment="1">
      <alignment horizontal="center"/>
    </xf>
    <xf numFmtId="0" fontId="15" fillId="2" borderId="0" xfId="4" applyFont="1" applyAlignment="1">
      <alignment horizontal="center" vertical="center" wrapText="1"/>
    </xf>
    <xf numFmtId="0" fontId="15" fillId="2" borderId="0" xfId="4" applyFont="1" applyAlignment="1">
      <alignment horizontal="center"/>
    </xf>
    <xf numFmtId="0" fontId="12" fillId="3" borderId="0" xfId="6" applyFont="1" applyFill="1" applyAlignment="1">
      <alignment horizontal="center" vertical="center"/>
    </xf>
    <xf numFmtId="0" fontId="19" fillId="2" borderId="0" xfId="6" applyFont="1"/>
    <xf numFmtId="0" fontId="15" fillId="3" borderId="0" xfId="6" applyFont="1" applyFill="1" applyAlignment="1">
      <alignment horizontal="center" vertical="center"/>
    </xf>
    <xf numFmtId="0" fontId="15" fillId="3" borderId="14" xfId="6" applyFont="1" applyFill="1" applyBorder="1" applyAlignment="1">
      <alignment horizontal="center" vertical="center" wrapText="1"/>
    </xf>
    <xf numFmtId="0" fontId="19" fillId="2" borderId="18" xfId="6" applyFont="1" applyBorder="1"/>
    <xf numFmtId="164" fontId="15" fillId="3" borderId="14" xfId="6" applyNumberFormat="1" applyFont="1" applyFill="1" applyBorder="1" applyAlignment="1">
      <alignment horizontal="center" vertical="center" wrapText="1"/>
    </xf>
    <xf numFmtId="0" fontId="15" fillId="3" borderId="15" xfId="6" applyFont="1" applyFill="1" applyBorder="1" applyAlignment="1">
      <alignment horizontal="center" vertical="center" wrapText="1"/>
    </xf>
    <xf numFmtId="0" fontId="19" fillId="2" borderId="16" xfId="6" applyFont="1" applyBorder="1"/>
    <xf numFmtId="0" fontId="19" fillId="2" borderId="17" xfId="6" applyFont="1" applyBorder="1"/>
    <xf numFmtId="0" fontId="16" fillId="2" borderId="18" xfId="6" applyFont="1" applyBorder="1"/>
    <xf numFmtId="0" fontId="10" fillId="2" borderId="0" xfId="6" applyFont="1" applyAlignment="1">
      <alignment horizontal="center" vertical="center" wrapText="1"/>
    </xf>
    <xf numFmtId="0" fontId="1" fillId="2" borderId="0" xfId="6"/>
    <xf numFmtId="0" fontId="10" fillId="3" borderId="0" xfId="6" applyFont="1" applyFill="1" applyAlignment="1">
      <alignment horizontal="center"/>
    </xf>
    <xf numFmtId="0" fontId="18" fillId="2" borderId="0" xfId="6" applyFont="1" applyAlignment="1">
      <alignment horizontal="center"/>
    </xf>
    <xf numFmtId="0" fontId="15" fillId="2" borderId="0" xfId="6" applyFont="1" applyAlignment="1">
      <alignment horizontal="center" vertical="center" wrapText="1"/>
    </xf>
    <xf numFmtId="0" fontId="15" fillId="3" borderId="0" xfId="6" applyFont="1" applyFill="1" applyAlignment="1">
      <alignment horizontal="center"/>
    </xf>
    <xf numFmtId="0" fontId="16" fillId="2" borderId="0" xfId="6" applyFont="1"/>
    <xf numFmtId="0" fontId="16" fillId="2" borderId="16" xfId="6" applyFont="1" applyBorder="1"/>
    <xf numFmtId="0" fontId="16" fillId="2" borderId="17" xfId="6" applyFont="1" applyBorder="1"/>
    <xf numFmtId="0" fontId="20" fillId="2" borderId="0" xfId="6" applyFont="1" applyAlignment="1">
      <alignment horizontal="center"/>
    </xf>
    <xf numFmtId="0" fontId="18" fillId="2" borderId="0" xfId="6" applyFont="1" applyAlignment="1">
      <alignment horizontal="center" vertical="center"/>
    </xf>
    <xf numFmtId="0" fontId="22" fillId="2" borderId="0" xfId="6" applyFont="1" applyAlignment="1">
      <alignment horizontal="center" vertical="center" wrapText="1"/>
    </xf>
    <xf numFmtId="0" fontId="1" fillId="2" borderId="0" xfId="6" applyAlignment="1">
      <alignment vertical="center"/>
    </xf>
    <xf numFmtId="0" fontId="21" fillId="2" borderId="0" xfId="6" applyFont="1" applyAlignment="1">
      <alignment horizontal="center" vertical="center" wrapText="1"/>
    </xf>
    <xf numFmtId="0" fontId="21" fillId="3" borderId="0" xfId="6" applyFont="1" applyFill="1" applyAlignment="1">
      <alignment horizontal="center"/>
    </xf>
    <xf numFmtId="0" fontId="42" fillId="3" borderId="0" xfId="6" applyFont="1" applyFill="1" applyAlignment="1">
      <alignment horizontal="center" vertical="center"/>
    </xf>
    <xf numFmtId="0" fontId="16" fillId="2" borderId="0" xfId="6" applyFont="1" applyAlignment="1">
      <alignment vertical="center"/>
    </xf>
    <xf numFmtId="0" fontId="22" fillId="3" borderId="0" xfId="6" applyFont="1" applyFill="1" applyAlignment="1">
      <alignment horizontal="center" vertical="center"/>
    </xf>
    <xf numFmtId="0" fontId="22" fillId="3" borderId="14" xfId="6" applyFont="1" applyFill="1" applyBorder="1" applyAlignment="1">
      <alignment horizontal="center" vertical="center" wrapText="1"/>
    </xf>
    <xf numFmtId="0" fontId="16" fillId="2" borderId="18" xfId="6" applyFont="1" applyBorder="1" applyAlignment="1">
      <alignment vertical="center"/>
    </xf>
    <xf numFmtId="164" fontId="22" fillId="3" borderId="14" xfId="6" applyNumberFormat="1" applyFont="1" applyFill="1" applyBorder="1" applyAlignment="1">
      <alignment horizontal="center" vertical="center" wrapText="1"/>
    </xf>
    <xf numFmtId="0" fontId="22" fillId="3" borderId="15" xfId="6" applyFont="1" applyFill="1" applyBorder="1" applyAlignment="1">
      <alignment horizontal="center" vertical="center" wrapText="1"/>
    </xf>
    <xf numFmtId="0" fontId="16" fillId="2" borderId="16" xfId="6" applyFont="1" applyBorder="1" applyAlignment="1">
      <alignment vertical="center"/>
    </xf>
    <xf numFmtId="0" fontId="16" fillId="2" borderId="17" xfId="6" applyFont="1" applyBorder="1" applyAlignment="1">
      <alignment vertical="center"/>
    </xf>
    <xf numFmtId="0" fontId="12" fillId="2" borderId="0" xfId="6" applyFont="1" applyAlignment="1">
      <alignment horizontal="center" vertical="center"/>
    </xf>
    <xf numFmtId="0" fontId="15" fillId="2" borderId="0" xfId="6" applyFont="1" applyAlignment="1">
      <alignment horizontal="center" vertical="center"/>
    </xf>
    <xf numFmtId="0" fontId="15" fillId="2" borderId="14" xfId="6" applyFont="1" applyBorder="1" applyAlignment="1">
      <alignment horizontal="center" vertical="center" wrapText="1"/>
    </xf>
    <xf numFmtId="164" fontId="15" fillId="2" borderId="14" xfId="6" applyNumberFormat="1" applyFont="1" applyBorder="1" applyAlignment="1">
      <alignment horizontal="center" vertical="center" wrapText="1"/>
    </xf>
    <xf numFmtId="0" fontId="15" fillId="2" borderId="15" xfId="6" applyFont="1" applyBorder="1" applyAlignment="1">
      <alignment horizontal="center" vertical="center" wrapText="1"/>
    </xf>
    <xf numFmtId="0" fontId="15" fillId="2" borderId="0" xfId="6" applyFont="1" applyAlignment="1">
      <alignment horizontal="center"/>
    </xf>
    <xf numFmtId="0" fontId="10" fillId="2" borderId="0" xfId="6" applyFont="1" applyAlignment="1">
      <alignment horizontal="center"/>
    </xf>
    <xf numFmtId="0" fontId="15" fillId="3" borderId="18" xfId="6" applyFont="1" applyFill="1" applyBorder="1" applyAlignment="1">
      <alignment horizontal="center" vertical="center" wrapText="1"/>
    </xf>
    <xf numFmtId="164" fontId="15" fillId="3" borderId="18" xfId="6" applyNumberFormat="1" applyFont="1" applyFill="1" applyBorder="1" applyAlignment="1">
      <alignment horizontal="center" vertical="center" wrapText="1"/>
    </xf>
    <xf numFmtId="0" fontId="15" fillId="3" borderId="89" xfId="6" applyFont="1" applyFill="1" applyBorder="1" applyAlignment="1">
      <alignment horizontal="center" vertical="center" wrapText="1"/>
    </xf>
    <xf numFmtId="0" fontId="15" fillId="3" borderId="61" xfId="6" applyFont="1" applyFill="1" applyBorder="1" applyAlignment="1">
      <alignment horizontal="center" vertical="center" wrapText="1"/>
    </xf>
    <xf numFmtId="0" fontId="15" fillId="3" borderId="60" xfId="6" applyFont="1" applyFill="1" applyBorder="1" applyAlignment="1">
      <alignment horizontal="center" vertical="center" wrapText="1"/>
    </xf>
    <xf numFmtId="0" fontId="16" fillId="2" borderId="18" xfId="6" applyFont="1" applyBorder="1" applyAlignment="1">
      <alignment horizontal="center"/>
    </xf>
    <xf numFmtId="0" fontId="16" fillId="2" borderId="16" xfId="6" applyFont="1" applyBorder="1" applyAlignment="1">
      <alignment horizontal="center"/>
    </xf>
    <xf numFmtId="0" fontId="16" fillId="2" borderId="17" xfId="6" applyFont="1" applyBorder="1" applyAlignment="1">
      <alignment horizontal="center"/>
    </xf>
    <xf numFmtId="0" fontId="19" fillId="2" borderId="18" xfId="6" applyFont="1" applyBorder="1" applyAlignment="1">
      <alignment horizontal="center"/>
    </xf>
    <xf numFmtId="0" fontId="15" fillId="2" borderId="68" xfId="6" applyFont="1" applyBorder="1" applyAlignment="1">
      <alignment horizontal="center" vertical="center" wrapText="1"/>
    </xf>
    <xf numFmtId="0" fontId="16" fillId="2" borderId="73" xfId="6" applyFont="1" applyBorder="1"/>
    <xf numFmtId="0" fontId="15" fillId="2" borderId="69" xfId="6" applyFont="1" applyBorder="1" applyAlignment="1">
      <alignment horizontal="center" vertical="center" wrapText="1"/>
    </xf>
    <xf numFmtId="164" fontId="15" fillId="2" borderId="69" xfId="6" applyNumberFormat="1" applyFont="1" applyBorder="1" applyAlignment="1">
      <alignment horizontal="center" vertical="center" wrapText="1"/>
    </xf>
    <xf numFmtId="0" fontId="15" fillId="2" borderId="70" xfId="6" applyFont="1" applyBorder="1" applyAlignment="1">
      <alignment horizontal="center" vertical="center" wrapText="1"/>
    </xf>
    <xf numFmtId="0" fontId="16" fillId="2" borderId="71" xfId="6" applyFont="1" applyBorder="1"/>
    <xf numFmtId="0" fontId="16" fillId="2" borderId="72" xfId="6" applyFont="1" applyBorder="1"/>
    <xf numFmtId="0" fontId="22" fillId="2" borderId="0" xfId="6" applyFont="1" applyAlignment="1">
      <alignment horizontal="center"/>
    </xf>
    <xf numFmtId="0" fontId="18" fillId="2" borderId="0" xfId="6" applyFont="1"/>
    <xf numFmtId="4" fontId="21" fillId="2" borderId="0" xfId="6" applyNumberFormat="1" applyFont="1" applyAlignment="1">
      <alignment horizontal="center"/>
    </xf>
    <xf numFmtId="0" fontId="21" fillId="2" borderId="0" xfId="6" applyFont="1" applyAlignment="1">
      <alignment horizontal="center"/>
    </xf>
    <xf numFmtId="0" fontId="15" fillId="2" borderId="0" xfId="6" applyFont="1" applyAlignment="1">
      <alignment horizontal="left" vertical="center" wrapText="1"/>
    </xf>
    <xf numFmtId="0" fontId="1" fillId="2" borderId="0" xfId="6" applyAlignment="1">
      <alignment horizontal="center"/>
    </xf>
    <xf numFmtId="0" fontId="30" fillId="2" borderId="0" xfId="6" applyFont="1" applyAlignment="1">
      <alignment horizontal="center"/>
    </xf>
    <xf numFmtId="43" fontId="10" fillId="2" borderId="0" xfId="5" applyFont="1" applyAlignment="1">
      <alignment horizontal="center" vertical="center" wrapText="1"/>
    </xf>
    <xf numFmtId="43" fontId="0" fillId="2" borderId="0" xfId="5" applyFont="1" applyAlignment="1"/>
    <xf numFmtId="43" fontId="10" fillId="2" borderId="0" xfId="5" applyFont="1" applyBorder="1" applyAlignment="1">
      <alignment horizontal="center"/>
    </xf>
    <xf numFmtId="43" fontId="16" fillId="2" borderId="0" xfId="5" applyFont="1" applyBorder="1"/>
    <xf numFmtId="43" fontId="15" fillId="2" borderId="0" xfId="5" applyFont="1" applyAlignment="1">
      <alignment horizontal="center" vertical="center" wrapText="1"/>
    </xf>
    <xf numFmtId="43" fontId="15" fillId="2" borderId="0" xfId="5" applyFont="1" applyBorder="1" applyAlignment="1">
      <alignment horizontal="center"/>
    </xf>
    <xf numFmtId="0" fontId="10" fillId="2" borderId="0" xfId="6" applyFont="1" applyAlignment="1">
      <alignment horizontal="center" vertical="top" wrapText="1"/>
    </xf>
    <xf numFmtId="0" fontId="1" fillId="2" borderId="0" xfId="6" applyAlignment="1">
      <alignment vertical="top"/>
    </xf>
    <xf numFmtId="0" fontId="10" fillId="3" borderId="0" xfId="6" applyFont="1" applyFill="1" applyAlignment="1">
      <alignment horizontal="center" vertical="top"/>
    </xf>
    <xf numFmtId="0" fontId="16" fillId="2" borderId="0" xfId="6" applyFont="1" applyAlignment="1">
      <alignment vertical="top"/>
    </xf>
    <xf numFmtId="0" fontId="10" fillId="3" borderId="0" xfId="6" applyFont="1" applyFill="1" applyAlignment="1">
      <alignment horizontal="left"/>
    </xf>
    <xf numFmtId="4" fontId="10" fillId="2" borderId="0" xfId="6" applyNumberFormat="1" applyFont="1" applyAlignment="1">
      <alignment horizontal="left"/>
    </xf>
    <xf numFmtId="43" fontId="15" fillId="3" borderId="0" xfId="5" applyFont="1" applyFill="1" applyBorder="1" applyAlignment="1">
      <alignment horizontal="center"/>
    </xf>
    <xf numFmtId="43" fontId="10" fillId="3" borderId="0" xfId="5" applyFont="1" applyFill="1" applyBorder="1" applyAlignment="1">
      <alignment horizontal="center"/>
    </xf>
    <xf numFmtId="0" fontId="10" fillId="2" borderId="0" xfId="6" applyFont="1" applyAlignment="1">
      <alignment horizontal="center" vertical="top"/>
    </xf>
    <xf numFmtId="0" fontId="21" fillId="2" borderId="0" xfId="6" applyFont="1" applyAlignment="1">
      <alignment horizontal="left" vertical="center" wrapText="1"/>
    </xf>
    <xf numFmtId="0" fontId="21" fillId="3" borderId="0" xfId="6" applyFont="1" applyFill="1" applyAlignment="1">
      <alignment horizontal="left"/>
    </xf>
    <xf numFmtId="0" fontId="22" fillId="2" borderId="0" xfId="6" applyFont="1" applyAlignment="1">
      <alignment horizontal="left" vertical="center" wrapText="1"/>
    </xf>
    <xf numFmtId="0" fontId="22" fillId="3" borderId="0" xfId="6" applyFont="1" applyFill="1" applyAlignment="1">
      <alignment horizontal="left"/>
    </xf>
  </cellXfs>
  <cellStyles count="8">
    <cellStyle name="Comma" xfId="3" builtinId="3"/>
    <cellStyle name="Comma 2" xfId="2" xr:uid="{00000000-0005-0000-0000-000001000000}"/>
    <cellStyle name="Comma 3" xfId="5" xr:uid="{8B859D5A-86CF-47F9-808C-A687FEA6E810}"/>
    <cellStyle name="Normal" xfId="0" builtinId="0"/>
    <cellStyle name="Normal 2" xfId="1" xr:uid="{00000000-0005-0000-0000-000003000000}"/>
    <cellStyle name="Normal 2 2" xfId="6" xr:uid="{C32CA7EC-1D80-40EC-9EE1-A6E4EFC73965}"/>
    <cellStyle name="Normal 3" xfId="4" xr:uid="{D20BAAFE-FD82-4DAC-8A6D-A5168F99FF0D}"/>
    <cellStyle name="Normal_budget 2003_152" xfId="7" xr:uid="{59906CE2-39BF-4F85-A18B-8265BE164755}"/>
  </cellStyles>
  <dxfs count="18"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89646</xdr:rowOff>
    </xdr:from>
    <xdr:to>
      <xdr:col>7</xdr:col>
      <xdr:colOff>9673</xdr:colOff>
      <xdr:row>68</xdr:row>
      <xdr:rowOff>186763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6A633C-DCF6-439B-A9AA-640BC2D0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19"/>
        <a:stretch/>
      </xdr:blipFill>
      <xdr:spPr>
        <a:xfrm>
          <a:off x="0" y="14224746"/>
          <a:ext cx="9887098" cy="26117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59</xdr:row>
      <xdr:rowOff>114300</xdr:rowOff>
    </xdr:from>
    <xdr:to>
      <xdr:col>7</xdr:col>
      <xdr:colOff>111154</xdr:colOff>
      <xdr:row>67</xdr:row>
      <xdr:rowOff>91440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DBCBA1-AFE3-431B-B109-F3C81B5FE5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1"/>
        <a:stretch/>
      </xdr:blipFill>
      <xdr:spPr>
        <a:xfrm>
          <a:off x="0" y="14458950"/>
          <a:ext cx="10083829" cy="1805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172"/>
  <sheetViews>
    <sheetView view="pageBreakPreview" zoomScale="85" zoomScaleNormal="100" zoomScaleSheetLayoutView="85" workbookViewId="0">
      <selection activeCell="F6" sqref="F6"/>
    </sheetView>
  </sheetViews>
  <sheetFormatPr defaultRowHeight="15"/>
  <cols>
    <col min="1" max="1" width="56.85546875" style="6" customWidth="1"/>
    <col min="2" max="2" width="18.85546875" style="18" customWidth="1"/>
    <col min="3" max="7" width="18.85546875" style="6" customWidth="1"/>
    <col min="8" max="8" width="12.28515625" style="6" customWidth="1"/>
  </cols>
  <sheetData>
    <row r="1" spans="1:7" s="7" customFormat="1">
      <c r="A1" s="13" t="s">
        <v>7</v>
      </c>
      <c r="B1" s="16"/>
      <c r="C1" s="5"/>
      <c r="D1" s="5"/>
      <c r="E1" s="5"/>
    </row>
    <row r="2" spans="1:7" s="7" customFormat="1">
      <c r="A2" s="4"/>
      <c r="B2" s="17"/>
      <c r="C2" s="8"/>
      <c r="D2" s="8"/>
      <c r="E2" s="8"/>
    </row>
    <row r="3" spans="1:7">
      <c r="A3" s="1209" t="s">
        <v>0</v>
      </c>
      <c r="B3" s="1209"/>
      <c r="C3" s="1209"/>
      <c r="D3" s="1209"/>
      <c r="E3" s="1209"/>
      <c r="F3" s="1209"/>
      <c r="G3" s="1209"/>
    </row>
    <row r="4" spans="1:7">
      <c r="A4" s="9"/>
      <c r="B4" s="9"/>
      <c r="C4" s="9"/>
      <c r="D4" s="9"/>
      <c r="E4" s="9"/>
    </row>
    <row r="5" spans="1:7">
      <c r="A5" s="11" t="s">
        <v>1</v>
      </c>
      <c r="B5" s="14" t="s">
        <v>2</v>
      </c>
      <c r="C5" s="3"/>
      <c r="D5" s="11" t="s">
        <v>3</v>
      </c>
      <c r="E5" s="15">
        <v>2025</v>
      </c>
    </row>
    <row r="6" spans="1:7">
      <c r="A6" s="12" t="s">
        <v>4</v>
      </c>
      <c r="B6" s="14" t="s">
        <v>5</v>
      </c>
      <c r="C6" s="10"/>
      <c r="D6" s="10"/>
      <c r="E6" s="10"/>
    </row>
    <row r="7" spans="1:7">
      <c r="A7" s="12" t="s">
        <v>6</v>
      </c>
      <c r="B7" s="14" t="s">
        <v>5</v>
      </c>
      <c r="C7" s="10"/>
      <c r="D7" s="10"/>
      <c r="E7" s="10"/>
    </row>
    <row r="8" spans="1:7" ht="15.75" thickBot="1"/>
    <row r="9" spans="1:7" ht="18" thickTop="1" thickBot="1">
      <c r="A9" s="1198" t="s">
        <v>739</v>
      </c>
      <c r="B9" s="1200" t="s">
        <v>17</v>
      </c>
      <c r="C9" s="1202" t="s">
        <v>561</v>
      </c>
      <c r="D9" s="1204" t="s">
        <v>740</v>
      </c>
      <c r="E9" s="1205"/>
      <c r="F9" s="1206"/>
      <c r="G9" s="1207" t="s">
        <v>699</v>
      </c>
    </row>
    <row r="10" spans="1:7" ht="15.75" thickTop="1">
      <c r="A10" s="1199"/>
      <c r="B10" s="1201"/>
      <c r="C10" s="1203"/>
      <c r="D10" s="1095" t="s">
        <v>21</v>
      </c>
      <c r="E10" s="1096" t="s">
        <v>22</v>
      </c>
      <c r="F10" s="1207" t="s">
        <v>23</v>
      </c>
      <c r="G10" s="1208"/>
    </row>
    <row r="11" spans="1:7">
      <c r="A11" s="1199"/>
      <c r="B11" s="1201"/>
      <c r="C11" s="1203"/>
      <c r="D11" s="1097" t="s">
        <v>24</v>
      </c>
      <c r="E11" s="1097" t="s">
        <v>25</v>
      </c>
      <c r="F11" s="1208"/>
      <c r="G11" s="1208"/>
    </row>
    <row r="12" spans="1:7" ht="17.25" thickBot="1">
      <c r="A12" s="1098" t="s">
        <v>26</v>
      </c>
      <c r="B12" s="1098" t="s">
        <v>27</v>
      </c>
      <c r="C12" s="1099" t="s">
        <v>29</v>
      </c>
      <c r="D12" s="1099" t="s">
        <v>30</v>
      </c>
      <c r="E12" s="1099" t="s">
        <v>31</v>
      </c>
      <c r="F12" s="1098" t="s">
        <v>32</v>
      </c>
      <c r="G12" s="1098" t="s">
        <v>741</v>
      </c>
    </row>
    <row r="13" spans="1:7" ht="19.5" thickTop="1">
      <c r="A13" s="1100" t="s">
        <v>742</v>
      </c>
      <c r="B13" s="1101"/>
      <c r="C13" s="1102"/>
      <c r="D13" s="1102"/>
      <c r="E13" s="1101"/>
      <c r="F13" s="1103"/>
      <c r="G13" s="1104"/>
    </row>
    <row r="14" spans="1:7" ht="18.75">
      <c r="A14" s="1106" t="s">
        <v>516</v>
      </c>
      <c r="B14" s="1107"/>
      <c r="C14" s="1108"/>
      <c r="D14" s="1108"/>
      <c r="E14" s="1109"/>
      <c r="F14" s="1110"/>
      <c r="G14" s="1111"/>
    </row>
    <row r="15" spans="1:7" ht="16.5">
      <c r="A15" s="1112" t="s">
        <v>35</v>
      </c>
      <c r="B15" s="1113"/>
      <c r="C15" s="1114"/>
      <c r="D15" s="1114"/>
      <c r="E15" s="1115"/>
      <c r="F15" s="1116"/>
      <c r="G15" s="1117"/>
    </row>
    <row r="16" spans="1:7" ht="15.75">
      <c r="A16" s="1118" t="s">
        <v>36</v>
      </c>
      <c r="B16" s="1119" t="s">
        <v>37</v>
      </c>
      <c r="C16" s="1120">
        <v>309788691.94999999</v>
      </c>
      <c r="D16" s="1120">
        <v>156070875.81999999</v>
      </c>
      <c r="E16" s="1121">
        <f>F16-D16</f>
        <v>274727168.18000001</v>
      </c>
      <c r="F16" s="1122">
        <f>414889296+15908748</f>
        <v>430798044</v>
      </c>
      <c r="G16" s="1123">
        <f>457768206+1296021</f>
        <v>459064227</v>
      </c>
    </row>
    <row r="17" spans="1:7" ht="15.75">
      <c r="A17" s="1118" t="s">
        <v>517</v>
      </c>
      <c r="B17" s="1119" t="s">
        <v>39</v>
      </c>
      <c r="C17" s="1120">
        <v>38986298.659999996</v>
      </c>
      <c r="D17" s="1120">
        <v>17235385.449999999</v>
      </c>
      <c r="E17" s="1121">
        <f>F17-D17</f>
        <v>19345150.550000001</v>
      </c>
      <c r="F17" s="1122">
        <v>36580536</v>
      </c>
      <c r="G17" s="1123">
        <v>41186094</v>
      </c>
    </row>
    <row r="18" spans="1:7" ht="16.5">
      <c r="A18" s="1112" t="s">
        <v>40</v>
      </c>
      <c r="B18" s="1119"/>
      <c r="C18" s="1120"/>
      <c r="D18" s="1120"/>
      <c r="E18" s="1121"/>
      <c r="F18" s="1122"/>
      <c r="G18" s="1123"/>
    </row>
    <row r="19" spans="1:7" ht="15.75">
      <c r="A19" s="1118" t="s">
        <v>41</v>
      </c>
      <c r="B19" s="1119" t="s">
        <v>42</v>
      </c>
      <c r="C19" s="1120">
        <v>23107883.739999998</v>
      </c>
      <c r="D19" s="1120">
        <v>11618909.630000001</v>
      </c>
      <c r="E19" s="1121">
        <f t="shared" ref="E19:E41" si="0">F19-D19</f>
        <v>18717090.369999997</v>
      </c>
      <c r="F19" s="1122">
        <f>29712000+624000</f>
        <v>30336000</v>
      </c>
      <c r="G19" s="1123">
        <f>30312000+96000</f>
        <v>30408000</v>
      </c>
    </row>
    <row r="20" spans="1:7" ht="15.75">
      <c r="A20" s="1118" t="s">
        <v>43</v>
      </c>
      <c r="B20" s="1119" t="s">
        <v>44</v>
      </c>
      <c r="C20" s="1120">
        <v>4505458.99</v>
      </c>
      <c r="D20" s="1120">
        <v>2327046.75</v>
      </c>
      <c r="E20" s="1121">
        <f t="shared" si="0"/>
        <v>2754953.25</v>
      </c>
      <c r="F20" s="1122">
        <f>4980000+102000</f>
        <v>5082000</v>
      </c>
      <c r="G20" s="1123">
        <v>5646000</v>
      </c>
    </row>
    <row r="21" spans="1:7" ht="15.75">
      <c r="A21" s="1118" t="s">
        <v>45</v>
      </c>
      <c r="B21" s="1119" t="s">
        <v>46</v>
      </c>
      <c r="C21" s="1120">
        <v>4431332.13</v>
      </c>
      <c r="D21" s="1120">
        <v>2303125</v>
      </c>
      <c r="E21" s="1121">
        <f t="shared" si="0"/>
        <v>2718875</v>
      </c>
      <c r="F21" s="1122">
        <f>4920000+102000</f>
        <v>5022000</v>
      </c>
      <c r="G21" s="1123">
        <v>5646000</v>
      </c>
    </row>
    <row r="22" spans="1:7" ht="15.75">
      <c r="A22" s="1118" t="s">
        <v>47</v>
      </c>
      <c r="B22" s="1119" t="s">
        <v>48</v>
      </c>
      <c r="C22" s="1120">
        <v>5550000</v>
      </c>
      <c r="D22" s="1120">
        <v>5496000</v>
      </c>
      <c r="E22" s="1121">
        <f t="shared" si="0"/>
        <v>2088000</v>
      </c>
      <c r="F22" s="1122">
        <f>7428000+156000</f>
        <v>7584000</v>
      </c>
      <c r="G22" s="1123">
        <f>8841000+28000</f>
        <v>8869000</v>
      </c>
    </row>
    <row r="23" spans="1:7" ht="15.75">
      <c r="A23" s="1118" t="s">
        <v>437</v>
      </c>
      <c r="B23" s="1119" t="s">
        <v>438</v>
      </c>
      <c r="C23" s="1120">
        <v>2431017.5</v>
      </c>
      <c r="D23" s="1120">
        <v>1037700</v>
      </c>
      <c r="E23" s="1121">
        <f t="shared" si="0"/>
        <v>2605500</v>
      </c>
      <c r="F23" s="1122">
        <v>3643200</v>
      </c>
      <c r="G23" s="1123">
        <v>3313200</v>
      </c>
    </row>
    <row r="24" spans="1:7" ht="15.75">
      <c r="A24" s="1118" t="s">
        <v>439</v>
      </c>
      <c r="B24" s="1119" t="s">
        <v>440</v>
      </c>
      <c r="C24" s="1120">
        <v>331255.38</v>
      </c>
      <c r="D24" s="1120">
        <v>144125</v>
      </c>
      <c r="E24" s="1121">
        <f t="shared" si="0"/>
        <v>351175</v>
      </c>
      <c r="F24" s="1122">
        <v>495300</v>
      </c>
      <c r="G24" s="1123">
        <v>439200</v>
      </c>
    </row>
    <row r="25" spans="1:7" ht="15.75">
      <c r="A25" s="1118" t="s">
        <v>49</v>
      </c>
      <c r="B25" s="1119" t="s">
        <v>50</v>
      </c>
      <c r="C25" s="1120">
        <v>4637000</v>
      </c>
      <c r="D25" s="1120">
        <v>0</v>
      </c>
      <c r="E25" s="1121">
        <f t="shared" si="0"/>
        <v>6340000</v>
      </c>
      <c r="F25" s="1122">
        <f>6210000+130000</f>
        <v>6340000</v>
      </c>
      <c r="G25" s="1123">
        <f>6315000+20000</f>
        <v>6335000</v>
      </c>
    </row>
    <row r="26" spans="1:7" ht="15.75">
      <c r="A26" s="1118" t="s">
        <v>518</v>
      </c>
      <c r="B26" s="1119" t="s">
        <v>269</v>
      </c>
      <c r="C26" s="1120">
        <v>1477700</v>
      </c>
      <c r="D26" s="1120">
        <v>656700</v>
      </c>
      <c r="E26" s="1121">
        <f t="shared" si="0"/>
        <v>1257300</v>
      </c>
      <c r="F26" s="1122">
        <v>1914000</v>
      </c>
      <c r="G26" s="1123">
        <v>714000</v>
      </c>
    </row>
    <row r="27" spans="1:7" ht="15.75">
      <c r="A27" s="1118" t="s">
        <v>441</v>
      </c>
      <c r="B27" s="1119" t="s">
        <v>442</v>
      </c>
      <c r="C27" s="1120">
        <v>2700965.95</v>
      </c>
      <c r="D27" s="1120">
        <v>3483664.45</v>
      </c>
      <c r="E27" s="1121">
        <f t="shared" si="0"/>
        <v>8534174.1499999985</v>
      </c>
      <c r="F27" s="1122">
        <v>12017838.6</v>
      </c>
      <c r="G27" s="1123">
        <v>12251903.449999999</v>
      </c>
    </row>
    <row r="28" spans="1:7" ht="15.75">
      <c r="A28" s="1118" t="s">
        <v>51</v>
      </c>
      <c r="B28" s="1119" t="s">
        <v>52</v>
      </c>
      <c r="C28" s="1120">
        <v>5100000</v>
      </c>
      <c r="D28" s="1120">
        <v>1358739.77</v>
      </c>
      <c r="E28" s="1121">
        <f t="shared" si="0"/>
        <v>4121260.23</v>
      </c>
      <c r="F28" s="1122">
        <v>5480000</v>
      </c>
      <c r="G28" s="1123">
        <v>5600000</v>
      </c>
    </row>
    <row r="29" spans="1:7" ht="15.75">
      <c r="A29" s="1118" t="s">
        <v>53</v>
      </c>
      <c r="B29" s="1119" t="s">
        <v>54</v>
      </c>
      <c r="C29" s="1120">
        <v>27972844.100000001</v>
      </c>
      <c r="D29" s="1120">
        <v>0</v>
      </c>
      <c r="E29" s="1121">
        <f t="shared" si="0"/>
        <v>38948215</v>
      </c>
      <c r="F29" s="1122">
        <f>37622486+1325729</f>
        <v>38948215</v>
      </c>
      <c r="G29" s="1123">
        <f>42614211+112680</f>
        <v>42726891</v>
      </c>
    </row>
    <row r="30" spans="1:7" ht="15.75">
      <c r="A30" s="1118" t="s">
        <v>55</v>
      </c>
      <c r="B30" s="1119" t="s">
        <v>56</v>
      </c>
      <c r="C30" s="1120">
        <v>4695250</v>
      </c>
      <c r="D30" s="1120">
        <v>0</v>
      </c>
      <c r="E30" s="1121">
        <f t="shared" si="0"/>
        <v>6325000</v>
      </c>
      <c r="F30" s="1122">
        <f>6195000+130000</f>
        <v>6325000</v>
      </c>
      <c r="G30" s="1123">
        <f>6320000+20000</f>
        <v>6340000</v>
      </c>
    </row>
    <row r="31" spans="1:7" ht="15.75">
      <c r="A31" s="1118" t="s">
        <v>57</v>
      </c>
      <c r="B31" s="1119" t="s">
        <v>58</v>
      </c>
      <c r="C31" s="1120">
        <v>28632039</v>
      </c>
      <c r="D31" s="1120">
        <v>28385838</v>
      </c>
      <c r="E31" s="1121">
        <f t="shared" si="0"/>
        <v>10562377</v>
      </c>
      <c r="F31" s="1122">
        <f>37622486+1325729</f>
        <v>38948215</v>
      </c>
      <c r="G31" s="1123">
        <f>40819334+107860</f>
        <v>40927194</v>
      </c>
    </row>
    <row r="32" spans="1:7" ht="15.75">
      <c r="A32" s="1118" t="s">
        <v>519</v>
      </c>
      <c r="B32" s="1119" t="s">
        <v>58</v>
      </c>
      <c r="C32" s="1120">
        <v>0</v>
      </c>
      <c r="D32" s="1120">
        <v>0</v>
      </c>
      <c r="E32" s="1121">
        <f t="shared" si="0"/>
        <v>0</v>
      </c>
      <c r="F32" s="1122">
        <v>0</v>
      </c>
      <c r="G32" s="1123">
        <f>8841000+28000</f>
        <v>8869000</v>
      </c>
    </row>
    <row r="33" spans="1:7" ht="16.5">
      <c r="A33" s="1112" t="s">
        <v>59</v>
      </c>
      <c r="B33" s="1119"/>
      <c r="C33" s="1120"/>
      <c r="D33" s="1120"/>
      <c r="E33" s="1121"/>
      <c r="F33" s="1122"/>
      <c r="G33" s="1123"/>
    </row>
    <row r="34" spans="1:7" ht="15.75">
      <c r="A34" s="1118" t="s">
        <v>60</v>
      </c>
      <c r="B34" s="1119" t="s">
        <v>61</v>
      </c>
      <c r="C34" s="1120">
        <v>41003702.049999997</v>
      </c>
      <c r="D34" s="1120">
        <v>20606793.879999999</v>
      </c>
      <c r="E34" s="1121">
        <f t="shared" si="0"/>
        <v>35478635.120000005</v>
      </c>
      <c r="F34" s="1122">
        <f>54176379.24+1909049.76</f>
        <v>56085429</v>
      </c>
      <c r="G34" s="1123">
        <f>60340994.9+155522.52</f>
        <v>60496517.420000002</v>
      </c>
    </row>
    <row r="35" spans="1:7" ht="15.75">
      <c r="A35" s="1118" t="s">
        <v>62</v>
      </c>
      <c r="B35" s="1119" t="s">
        <v>63</v>
      </c>
      <c r="C35" s="1120">
        <v>1158690</v>
      </c>
      <c r="D35" s="1120">
        <v>1064587.5</v>
      </c>
      <c r="E35" s="1121">
        <f t="shared" si="0"/>
        <v>485012.5</v>
      </c>
      <c r="F35" s="1122">
        <f>1487200+62400</f>
        <v>1549600</v>
      </c>
      <c r="G35" s="1123">
        <f>3031200+9600</f>
        <v>3040800</v>
      </c>
    </row>
    <row r="36" spans="1:7" ht="15.75">
      <c r="A36" s="1118" t="s">
        <v>64</v>
      </c>
      <c r="B36" s="1119" t="s">
        <v>65</v>
      </c>
      <c r="C36" s="1120">
        <v>6414633.0700000003</v>
      </c>
      <c r="D36" s="1120">
        <v>4545186.3499999996</v>
      </c>
      <c r="E36" s="1121">
        <f t="shared" si="0"/>
        <v>5629683.3100000005</v>
      </c>
      <c r="F36" s="1122">
        <f>9777150.96+397718.7</f>
        <v>10174869.66</v>
      </c>
      <c r="G36" s="1123">
        <f>11940720.17+32400.53</f>
        <v>11973120.699999999</v>
      </c>
    </row>
    <row r="37" spans="1:7" ht="15.75">
      <c r="A37" s="1124" t="s">
        <v>66</v>
      </c>
      <c r="B37" s="1119" t="s">
        <v>67</v>
      </c>
      <c r="C37" s="1120">
        <v>1157150</v>
      </c>
      <c r="D37" s="1120">
        <v>581100</v>
      </c>
      <c r="E37" s="1121">
        <f t="shared" si="0"/>
        <v>937300</v>
      </c>
      <c r="F37" s="1122">
        <f>1487200+31200</f>
        <v>1518400</v>
      </c>
      <c r="G37" s="1123">
        <f>1550800+4800</f>
        <v>1555600</v>
      </c>
    </row>
    <row r="38" spans="1:7" ht="16.5">
      <c r="A38" s="1112" t="s">
        <v>68</v>
      </c>
      <c r="B38" s="1125"/>
      <c r="C38" s="1120"/>
      <c r="D38" s="1120"/>
      <c r="E38" s="1121"/>
      <c r="F38" s="1122"/>
      <c r="G38" s="1123"/>
    </row>
    <row r="39" spans="1:7" ht="15.75">
      <c r="A39" s="1124" t="s">
        <v>69</v>
      </c>
      <c r="B39" s="1126" t="s">
        <v>70</v>
      </c>
      <c r="C39" s="1120">
        <v>29555331.43</v>
      </c>
      <c r="D39" s="1120">
        <v>4961887.0199999996</v>
      </c>
      <c r="E39" s="1121">
        <f>F39-D39</f>
        <v>5038112.9800000004</v>
      </c>
      <c r="F39" s="1122">
        <v>10000000</v>
      </c>
      <c r="G39" s="1123">
        <v>20000000</v>
      </c>
    </row>
    <row r="40" spans="1:7" ht="15.75">
      <c r="A40" s="1124" t="s">
        <v>743</v>
      </c>
      <c r="B40" s="1126" t="s">
        <v>520</v>
      </c>
      <c r="C40" s="1120">
        <v>0</v>
      </c>
      <c r="D40" s="1120">
        <v>0</v>
      </c>
      <c r="E40" s="1121">
        <f t="shared" si="0"/>
        <v>0</v>
      </c>
      <c r="F40" s="1122">
        <v>0</v>
      </c>
      <c r="G40" s="1123">
        <f>13418678.52+52048.96</f>
        <v>13470727.48</v>
      </c>
    </row>
    <row r="41" spans="1:7" ht="16.5" thickBot="1">
      <c r="A41" s="1124" t="s">
        <v>68</v>
      </c>
      <c r="B41" s="1126" t="s">
        <v>520</v>
      </c>
      <c r="C41" s="1120">
        <v>20271000</v>
      </c>
      <c r="D41" s="1120">
        <v>0</v>
      </c>
      <c r="E41" s="1121">
        <f t="shared" si="0"/>
        <v>0</v>
      </c>
      <c r="F41" s="1122">
        <v>0</v>
      </c>
      <c r="G41" s="1127">
        <v>0</v>
      </c>
    </row>
    <row r="42" spans="1:7" ht="20.25" thickTop="1" thickBot="1">
      <c r="A42" s="1128" t="s">
        <v>521</v>
      </c>
      <c r="B42" s="1129"/>
      <c r="C42" s="1130">
        <f>SUM(C16:C41)</f>
        <v>563908243.95000005</v>
      </c>
      <c r="D42" s="1130">
        <f>SUM(D16:D41)</f>
        <v>261877664.61999997</v>
      </c>
      <c r="E42" s="1130">
        <f>SUM(E16:E41)</f>
        <v>446964982.64000005</v>
      </c>
      <c r="F42" s="1130">
        <f>SUM(F16:F41)</f>
        <v>708842647.25999999</v>
      </c>
      <c r="G42" s="1130">
        <f>SUM(G16:G41)</f>
        <v>788872475.05000007</v>
      </c>
    </row>
    <row r="43" spans="1:7" ht="19.5" thickTop="1">
      <c r="A43" s="1131" t="s">
        <v>522</v>
      </c>
      <c r="B43" s="1132"/>
      <c r="C43" s="1133"/>
      <c r="D43" s="1134"/>
      <c r="E43" s="1134"/>
      <c r="F43" s="1135"/>
      <c r="G43" s="1136"/>
    </row>
    <row r="44" spans="1:7" ht="15.75">
      <c r="A44" s="1137" t="s">
        <v>73</v>
      </c>
      <c r="B44" s="1125" t="s">
        <v>74</v>
      </c>
      <c r="C44" s="1120">
        <v>12105665.130000001</v>
      </c>
      <c r="D44" s="1120">
        <v>1918270.07</v>
      </c>
      <c r="E44" s="1121">
        <f t="shared" ref="E44:E98" si="1">F44-D44</f>
        <v>4452562.93</v>
      </c>
      <c r="F44" s="1121">
        <f>4555000+1815833</f>
        <v>6370833</v>
      </c>
      <c r="G44" s="1138">
        <v>2460000</v>
      </c>
    </row>
    <row r="45" spans="1:7" ht="15.75">
      <c r="A45" s="1137" t="s">
        <v>636</v>
      </c>
      <c r="B45" s="1125" t="s">
        <v>637</v>
      </c>
      <c r="C45" s="1120">
        <v>0</v>
      </c>
      <c r="D45" s="1120">
        <v>0</v>
      </c>
      <c r="E45" s="1121">
        <f t="shared" si="1"/>
        <v>0</v>
      </c>
      <c r="F45" s="1121">
        <v>0</v>
      </c>
      <c r="G45" s="1138">
        <v>2500000</v>
      </c>
    </row>
    <row r="46" spans="1:7" ht="15.75">
      <c r="A46" s="1137" t="s">
        <v>75</v>
      </c>
      <c r="B46" s="1125" t="s">
        <v>76</v>
      </c>
      <c r="C46" s="1120">
        <v>8730424.9800000004</v>
      </c>
      <c r="D46" s="1120">
        <v>2664273.4700000002</v>
      </c>
      <c r="E46" s="1121">
        <f t="shared" si="1"/>
        <v>7780726.5299999993</v>
      </c>
      <c r="F46" s="1121">
        <v>10445000</v>
      </c>
      <c r="G46" s="1138">
        <v>7078220</v>
      </c>
    </row>
    <row r="47" spans="1:7" ht="15.75">
      <c r="A47" s="1137" t="s">
        <v>744</v>
      </c>
      <c r="B47" s="1125" t="s">
        <v>745</v>
      </c>
      <c r="C47" s="1120">
        <v>0</v>
      </c>
      <c r="D47" s="1120">
        <v>0</v>
      </c>
      <c r="E47" s="1121">
        <f t="shared" si="1"/>
        <v>0</v>
      </c>
      <c r="F47" s="1121">
        <v>0</v>
      </c>
      <c r="G47" s="1138">
        <v>0</v>
      </c>
    </row>
    <row r="48" spans="1:7" ht="15.75">
      <c r="A48" s="1137" t="s">
        <v>224</v>
      </c>
      <c r="B48" s="1125" t="s">
        <v>78</v>
      </c>
      <c r="C48" s="1120">
        <f>6832093.38-249710</f>
        <v>6582383.3799999999</v>
      </c>
      <c r="D48" s="1120">
        <v>2015489.98</v>
      </c>
      <c r="E48" s="1121">
        <f t="shared" si="1"/>
        <v>17029494.75</v>
      </c>
      <c r="F48" s="1121">
        <f>16946516.73+2098468</f>
        <v>19044984.73</v>
      </c>
      <c r="G48" s="1138">
        <f>10321209.39+720000.3</f>
        <v>11041209.690000001</v>
      </c>
    </row>
    <row r="49" spans="1:7" ht="15.75">
      <c r="A49" s="1137" t="s">
        <v>195</v>
      </c>
      <c r="B49" s="1125" t="s">
        <v>196</v>
      </c>
      <c r="C49" s="1120">
        <v>2408814</v>
      </c>
      <c r="D49" s="1120">
        <v>818449</v>
      </c>
      <c r="E49" s="1121">
        <f t="shared" si="1"/>
        <v>639551</v>
      </c>
      <c r="F49" s="1121">
        <v>1458000</v>
      </c>
      <c r="G49" s="1138">
        <v>2300000</v>
      </c>
    </row>
    <row r="50" spans="1:7" ht="15.75">
      <c r="A50" s="1137" t="s">
        <v>746</v>
      </c>
      <c r="B50" s="1125" t="s">
        <v>747</v>
      </c>
      <c r="C50" s="1120">
        <v>0</v>
      </c>
      <c r="D50" s="1120">
        <v>0</v>
      </c>
      <c r="E50" s="1121">
        <f t="shared" si="1"/>
        <v>0</v>
      </c>
      <c r="F50" s="1121">
        <v>0</v>
      </c>
      <c r="G50" s="1138">
        <v>0</v>
      </c>
    </row>
    <row r="51" spans="1:7" ht="15.75">
      <c r="A51" s="1137" t="s">
        <v>523</v>
      </c>
      <c r="B51" s="1125" t="s">
        <v>471</v>
      </c>
      <c r="C51" s="1120">
        <f>3650977.8-3650977.8</f>
        <v>0</v>
      </c>
      <c r="D51" s="1120">
        <v>0</v>
      </c>
      <c r="E51" s="1121">
        <f t="shared" si="1"/>
        <v>0</v>
      </c>
      <c r="F51" s="1121">
        <v>0</v>
      </c>
      <c r="G51" s="1138">
        <v>0</v>
      </c>
    </row>
    <row r="52" spans="1:7" ht="15.75">
      <c r="A52" s="1137" t="s">
        <v>655</v>
      </c>
      <c r="B52" s="1125" t="s">
        <v>656</v>
      </c>
      <c r="C52" s="1120">
        <v>0</v>
      </c>
      <c r="D52" s="1120">
        <v>0</v>
      </c>
      <c r="E52" s="1121">
        <f t="shared" si="1"/>
        <v>0</v>
      </c>
      <c r="F52" s="1121">
        <v>0</v>
      </c>
      <c r="G52" s="1138">
        <v>0</v>
      </c>
    </row>
    <row r="53" spans="1:7" ht="15.75">
      <c r="A53" s="1137" t="s">
        <v>443</v>
      </c>
      <c r="B53" s="1125" t="s">
        <v>444</v>
      </c>
      <c r="C53" s="1120">
        <v>42462.93</v>
      </c>
      <c r="D53" s="1120">
        <v>950000</v>
      </c>
      <c r="E53" s="1121">
        <f t="shared" si="1"/>
        <v>31191552</v>
      </c>
      <c r="F53" s="1121">
        <f>30843942+1297610</f>
        <v>32141552</v>
      </c>
      <c r="G53" s="1138">
        <v>500000</v>
      </c>
    </row>
    <row r="54" spans="1:7" ht="15.75">
      <c r="A54" s="1137" t="s">
        <v>524</v>
      </c>
      <c r="B54" s="1125" t="s">
        <v>446</v>
      </c>
      <c r="C54" s="1120">
        <v>0</v>
      </c>
      <c r="D54" s="1120">
        <v>21780</v>
      </c>
      <c r="E54" s="1121">
        <f t="shared" si="1"/>
        <v>18178220</v>
      </c>
      <c r="F54" s="1121">
        <v>18200000</v>
      </c>
      <c r="G54" s="1138">
        <v>0</v>
      </c>
    </row>
    <row r="55" spans="1:7" ht="15.75">
      <c r="A55" s="1137" t="s">
        <v>79</v>
      </c>
      <c r="B55" s="1125" t="s">
        <v>80</v>
      </c>
      <c r="C55" s="1120">
        <v>12065638.41</v>
      </c>
      <c r="D55" s="1120">
        <v>6167462.6399999997</v>
      </c>
      <c r="E55" s="1121">
        <f t="shared" si="1"/>
        <v>5317384.03</v>
      </c>
      <c r="F55" s="1121">
        <f>11271832.85+213013.82</f>
        <v>11484846.67</v>
      </c>
      <c r="G55" s="1138">
        <v>10785000</v>
      </c>
    </row>
    <row r="56" spans="1:7" ht="15.75">
      <c r="A56" s="1137" t="s">
        <v>329</v>
      </c>
      <c r="B56" s="1125" t="s">
        <v>330</v>
      </c>
      <c r="C56" s="1120">
        <v>542155</v>
      </c>
      <c r="D56" s="1120">
        <v>303981.5</v>
      </c>
      <c r="E56" s="1121">
        <f t="shared" si="1"/>
        <v>346018.5</v>
      </c>
      <c r="F56" s="1121">
        <v>650000</v>
      </c>
      <c r="G56" s="1138">
        <v>400000</v>
      </c>
    </row>
    <row r="57" spans="1:7" ht="15.75">
      <c r="A57" s="1137" t="s">
        <v>400</v>
      </c>
      <c r="B57" s="1125" t="s">
        <v>401</v>
      </c>
      <c r="C57" s="1120">
        <v>2557500</v>
      </c>
      <c r="D57" s="1120">
        <v>0</v>
      </c>
      <c r="E57" s="1121">
        <f t="shared" si="1"/>
        <v>4150000</v>
      </c>
      <c r="F57" s="1121">
        <f>2650000+1500000</f>
        <v>4150000</v>
      </c>
      <c r="G57" s="1138">
        <v>2300000</v>
      </c>
    </row>
    <row r="58" spans="1:7" ht="15.75">
      <c r="A58" s="1137" t="s">
        <v>81</v>
      </c>
      <c r="B58" s="1125" t="s">
        <v>82</v>
      </c>
      <c r="C58" s="1120">
        <f>26905791.28-249764</f>
        <v>26656027.280000001</v>
      </c>
      <c r="D58" s="1120">
        <v>4039707.7</v>
      </c>
      <c r="E58" s="1121">
        <f t="shared" si="1"/>
        <v>17960707.890000001</v>
      </c>
      <c r="F58" s="1121">
        <f>20867300+1133115.59</f>
        <v>22000415.59</v>
      </c>
      <c r="G58" s="1138">
        <f>14087539.09+400000</f>
        <v>14487539.09</v>
      </c>
    </row>
    <row r="59" spans="1:7" ht="15.75">
      <c r="A59" s="1137" t="s">
        <v>404</v>
      </c>
      <c r="B59" s="1125" t="s">
        <v>405</v>
      </c>
      <c r="C59" s="1120">
        <f>9484781.33-241956.83</f>
        <v>9242824.5</v>
      </c>
      <c r="D59" s="1120">
        <v>3950690.52</v>
      </c>
      <c r="E59" s="1121">
        <f t="shared" si="1"/>
        <v>6929309.4800000004</v>
      </c>
      <c r="F59" s="1121">
        <f>9800000+1080000</f>
        <v>10880000</v>
      </c>
      <c r="G59" s="1138">
        <v>9080000</v>
      </c>
    </row>
    <row r="60" spans="1:7" ht="15.75">
      <c r="A60" s="1137" t="s">
        <v>406</v>
      </c>
      <c r="B60" s="1125" t="s">
        <v>407</v>
      </c>
      <c r="C60" s="1120">
        <f>67474718.21-481341.34</f>
        <v>66993376.86999999</v>
      </c>
      <c r="D60" s="1120">
        <v>31091345.870000001</v>
      </c>
      <c r="E60" s="1121">
        <f t="shared" si="1"/>
        <v>39545871.379999995</v>
      </c>
      <c r="F60" s="1121">
        <f>66548688.56+4088528.69</f>
        <v>70637217.25</v>
      </c>
      <c r="G60" s="1138">
        <v>49456426.880000003</v>
      </c>
    </row>
    <row r="61" spans="1:7" ht="15.75">
      <c r="A61" s="1137" t="s">
        <v>365</v>
      </c>
      <c r="B61" s="1125" t="s">
        <v>366</v>
      </c>
      <c r="C61" s="1120">
        <v>440000</v>
      </c>
      <c r="D61" s="1120">
        <v>0</v>
      </c>
      <c r="E61" s="1121">
        <f t="shared" si="1"/>
        <v>30000</v>
      </c>
      <c r="F61" s="1121">
        <v>30000</v>
      </c>
      <c r="G61" s="1138">
        <v>300000</v>
      </c>
    </row>
    <row r="62" spans="1:7" ht="15.75">
      <c r="A62" s="1137" t="s">
        <v>217</v>
      </c>
      <c r="B62" s="1125" t="s">
        <v>84</v>
      </c>
      <c r="C62" s="1120">
        <v>6560926.2199999997</v>
      </c>
      <c r="D62" s="1120">
        <v>2532696.38</v>
      </c>
      <c r="E62" s="1121">
        <f t="shared" si="1"/>
        <v>4825908.05</v>
      </c>
      <c r="F62" s="1121">
        <f>6998604.43+360000</f>
        <v>7358604.4299999997</v>
      </c>
      <c r="G62" s="1138">
        <f>7050000+60000</f>
        <v>7110000</v>
      </c>
    </row>
    <row r="63" spans="1:7" ht="15.75">
      <c r="A63" s="1137" t="s">
        <v>85</v>
      </c>
      <c r="B63" s="1125" t="s">
        <v>86</v>
      </c>
      <c r="C63" s="1120">
        <f>4155925.11-222969.6</f>
        <v>3932955.51</v>
      </c>
      <c r="D63" s="1120">
        <v>2109345.2999999998</v>
      </c>
      <c r="E63" s="1121">
        <f t="shared" si="1"/>
        <v>4172874.7</v>
      </c>
      <c r="F63" s="1121">
        <f>5000500+1281720</f>
        <v>6282220</v>
      </c>
      <c r="G63" s="1138">
        <v>6280680</v>
      </c>
    </row>
    <row r="64" spans="1:7" ht="15.75">
      <c r="A64" s="1137" t="s">
        <v>296</v>
      </c>
      <c r="B64" s="1125" t="s">
        <v>297</v>
      </c>
      <c r="C64" s="1120">
        <v>0</v>
      </c>
      <c r="D64" s="1120">
        <v>0</v>
      </c>
      <c r="E64" s="1121">
        <f t="shared" si="1"/>
        <v>0</v>
      </c>
      <c r="F64" s="1121">
        <v>0</v>
      </c>
      <c r="G64" s="1138">
        <v>0</v>
      </c>
    </row>
    <row r="65" spans="1:7" ht="15.75">
      <c r="A65" s="1137" t="s">
        <v>748</v>
      </c>
      <c r="B65" s="1125" t="s">
        <v>749</v>
      </c>
      <c r="C65" s="1120">
        <v>0</v>
      </c>
      <c r="D65" s="1120">
        <v>0</v>
      </c>
      <c r="E65" s="1121">
        <f t="shared" si="1"/>
        <v>0</v>
      </c>
      <c r="F65" s="1121">
        <v>0</v>
      </c>
      <c r="G65" s="1138">
        <v>0</v>
      </c>
    </row>
    <row r="66" spans="1:7" ht="15.75">
      <c r="A66" s="1137" t="s">
        <v>331</v>
      </c>
      <c r="B66" s="1125" t="s">
        <v>332</v>
      </c>
      <c r="C66" s="1120">
        <v>500000</v>
      </c>
      <c r="D66" s="1120">
        <v>0</v>
      </c>
      <c r="E66" s="1121">
        <f t="shared" si="1"/>
        <v>500000</v>
      </c>
      <c r="F66" s="1121">
        <v>500000</v>
      </c>
      <c r="G66" s="1138">
        <v>0</v>
      </c>
    </row>
    <row r="67" spans="1:7" ht="15.75">
      <c r="A67" s="1137" t="s">
        <v>750</v>
      </c>
      <c r="B67" s="1125" t="s">
        <v>751</v>
      </c>
      <c r="C67" s="1120">
        <v>0</v>
      </c>
      <c r="D67" s="1120">
        <v>0</v>
      </c>
      <c r="E67" s="1121">
        <f t="shared" si="1"/>
        <v>0</v>
      </c>
      <c r="F67" s="1121">
        <v>0</v>
      </c>
      <c r="G67" s="1138">
        <v>0</v>
      </c>
    </row>
    <row r="68" spans="1:7" ht="15.75">
      <c r="A68" s="1137" t="s">
        <v>752</v>
      </c>
      <c r="B68" s="1125" t="s">
        <v>625</v>
      </c>
      <c r="C68" s="1120">
        <v>0</v>
      </c>
      <c r="D68" s="1120">
        <v>169500</v>
      </c>
      <c r="E68" s="1121">
        <f t="shared" si="1"/>
        <v>1674726.2</v>
      </c>
      <c r="F68" s="1121">
        <v>1844226.2</v>
      </c>
      <c r="G68" s="1138">
        <v>1576241.35</v>
      </c>
    </row>
    <row r="69" spans="1:7" ht="15.75">
      <c r="A69" s="1137" t="s">
        <v>87</v>
      </c>
      <c r="B69" s="1125" t="s">
        <v>88</v>
      </c>
      <c r="C69" s="1120">
        <v>20000000</v>
      </c>
      <c r="D69" s="1120">
        <v>0</v>
      </c>
      <c r="E69" s="1121">
        <f>F69-D69</f>
        <v>20000000</v>
      </c>
      <c r="F69" s="1121">
        <v>20000000</v>
      </c>
      <c r="G69" s="1138">
        <v>35000000</v>
      </c>
    </row>
    <row r="70" spans="1:7" ht="15.75">
      <c r="A70" s="1137" t="s">
        <v>89</v>
      </c>
      <c r="B70" s="1125" t="s">
        <v>90</v>
      </c>
      <c r="C70" s="1120">
        <v>7095761.7000000002</v>
      </c>
      <c r="D70" s="1120">
        <v>3424948.07</v>
      </c>
      <c r="E70" s="1121">
        <f t="shared" si="1"/>
        <v>3575051.93</v>
      </c>
      <c r="F70" s="1121">
        <v>7000000</v>
      </c>
      <c r="G70" s="1138">
        <v>5000000</v>
      </c>
    </row>
    <row r="71" spans="1:7" ht="15.75">
      <c r="A71" s="1137" t="s">
        <v>753</v>
      </c>
      <c r="B71" s="1125" t="s">
        <v>754</v>
      </c>
      <c r="C71" s="1120">
        <v>0</v>
      </c>
      <c r="D71" s="1120">
        <v>0</v>
      </c>
      <c r="E71" s="1121">
        <f t="shared" si="1"/>
        <v>0</v>
      </c>
      <c r="F71" s="1121">
        <v>0</v>
      </c>
      <c r="G71" s="1138">
        <v>0</v>
      </c>
    </row>
    <row r="72" spans="1:7" ht="15.75">
      <c r="A72" s="1137" t="s">
        <v>525</v>
      </c>
      <c r="B72" s="1125" t="s">
        <v>526</v>
      </c>
      <c r="C72" s="1120">
        <v>0</v>
      </c>
      <c r="D72" s="1120">
        <v>0</v>
      </c>
      <c r="E72" s="1121">
        <f t="shared" si="1"/>
        <v>0</v>
      </c>
      <c r="F72" s="1121">
        <v>0</v>
      </c>
      <c r="G72" s="1138">
        <v>0</v>
      </c>
    </row>
    <row r="73" spans="1:7" ht="15.75">
      <c r="A73" s="1137" t="s">
        <v>91</v>
      </c>
      <c r="B73" s="1125" t="s">
        <v>92</v>
      </c>
      <c r="C73" s="1120">
        <v>8496000</v>
      </c>
      <c r="D73" s="1120">
        <v>1764000</v>
      </c>
      <c r="E73" s="1121">
        <f t="shared" si="1"/>
        <v>3936000</v>
      </c>
      <c r="F73" s="1121">
        <v>5700000</v>
      </c>
      <c r="G73" s="1138">
        <v>5000000</v>
      </c>
    </row>
    <row r="74" spans="1:7" ht="15.75">
      <c r="A74" s="1137" t="s">
        <v>93</v>
      </c>
      <c r="B74" s="1125" t="s">
        <v>94</v>
      </c>
      <c r="C74" s="1120">
        <f>136720729.25-26408976.9</f>
        <v>110311752.34999999</v>
      </c>
      <c r="D74" s="1120">
        <v>78241601.530000001</v>
      </c>
      <c r="E74" s="1121">
        <f t="shared" si="1"/>
        <v>89262952.920000017</v>
      </c>
      <c r="F74" s="1121">
        <f>145799456.05+21705098.4</f>
        <v>167504554.45000002</v>
      </c>
      <c r="G74" s="1138">
        <v>182024247.53</v>
      </c>
    </row>
    <row r="75" spans="1:7" ht="15.75">
      <c r="A75" s="1137" t="s">
        <v>333</v>
      </c>
      <c r="B75" s="1125" t="s">
        <v>334</v>
      </c>
      <c r="C75" s="1120">
        <v>23572000</v>
      </c>
      <c r="D75" s="1120">
        <v>11979662.41</v>
      </c>
      <c r="E75" s="1121">
        <f t="shared" si="1"/>
        <v>13020337.59</v>
      </c>
      <c r="F75" s="1121">
        <v>25000000</v>
      </c>
      <c r="G75" s="1138">
        <v>25542000</v>
      </c>
    </row>
    <row r="76" spans="1:7" ht="15.75">
      <c r="A76" s="1137" t="s">
        <v>408</v>
      </c>
      <c r="B76" s="1125" t="s">
        <v>409</v>
      </c>
      <c r="C76" s="1120">
        <f>9024233.57-3876233.57</f>
        <v>5148000</v>
      </c>
      <c r="D76" s="1120">
        <v>2650392.81</v>
      </c>
      <c r="E76" s="1121">
        <f t="shared" si="1"/>
        <v>5240567.1899999995</v>
      </c>
      <c r="F76" s="1121">
        <v>7890960</v>
      </c>
      <c r="G76" s="1138">
        <v>11377800</v>
      </c>
    </row>
    <row r="77" spans="1:7" ht="15.75">
      <c r="A77" s="1137" t="s">
        <v>197</v>
      </c>
      <c r="B77" s="1125" t="s">
        <v>198</v>
      </c>
      <c r="C77" s="1120">
        <f>30784698.02-2155505.9</f>
        <v>28629192.120000001</v>
      </c>
      <c r="D77" s="1120">
        <v>23027029.620000001</v>
      </c>
      <c r="E77" s="1121">
        <f t="shared" si="1"/>
        <v>41855381.179999992</v>
      </c>
      <c r="F77" s="1121">
        <f>49608000+15274410.8</f>
        <v>64882410.799999997</v>
      </c>
      <c r="G77" s="1138">
        <v>1796000</v>
      </c>
    </row>
    <row r="78" spans="1:7" ht="15.75">
      <c r="A78" s="1137" t="s">
        <v>199</v>
      </c>
      <c r="B78" s="1125" t="s">
        <v>200</v>
      </c>
      <c r="C78" s="1120">
        <f>100600298.84-1701626.91</f>
        <v>98898671.930000007</v>
      </c>
      <c r="D78" s="1120">
        <v>64128329.689999998</v>
      </c>
      <c r="E78" s="1121">
        <f t="shared" si="1"/>
        <v>81372766.310000002</v>
      </c>
      <c r="F78" s="1121">
        <v>145501096</v>
      </c>
      <c r="G78" s="1138">
        <v>133114482.45999999</v>
      </c>
    </row>
    <row r="79" spans="1:7" ht="15.75">
      <c r="A79" s="1137" t="s">
        <v>410</v>
      </c>
      <c r="B79" s="1125" t="s">
        <v>411</v>
      </c>
      <c r="C79" s="1120">
        <v>4766456.8499999996</v>
      </c>
      <c r="D79" s="1120">
        <v>15000</v>
      </c>
      <c r="E79" s="1121">
        <f t="shared" si="1"/>
        <v>6985000</v>
      </c>
      <c r="F79" s="1121">
        <v>7000000</v>
      </c>
      <c r="G79" s="1138">
        <v>4000000</v>
      </c>
    </row>
    <row r="80" spans="1:7" ht="15.75">
      <c r="A80" s="1137" t="s">
        <v>335</v>
      </c>
      <c r="B80" s="1125" t="s">
        <v>336</v>
      </c>
      <c r="C80" s="1120">
        <v>14720353.33</v>
      </c>
      <c r="D80" s="1120">
        <v>653632.23</v>
      </c>
      <c r="E80" s="1121">
        <f t="shared" si="1"/>
        <v>38544967.770000003</v>
      </c>
      <c r="F80" s="1121">
        <v>39198600</v>
      </c>
      <c r="G80" s="1138">
        <v>17063734</v>
      </c>
    </row>
    <row r="81" spans="1:7" ht="15.75">
      <c r="A81" s="1137" t="s">
        <v>240</v>
      </c>
      <c r="B81" s="1125" t="s">
        <v>241</v>
      </c>
      <c r="C81" s="1120">
        <v>3620387.5</v>
      </c>
      <c r="D81" s="1120">
        <v>35000</v>
      </c>
      <c r="E81" s="1121">
        <f t="shared" si="1"/>
        <v>4205000</v>
      </c>
      <c r="F81" s="1121">
        <v>4240000</v>
      </c>
      <c r="G81" s="1138">
        <v>2520000</v>
      </c>
    </row>
    <row r="82" spans="1:7" ht="15.75">
      <c r="A82" s="1137" t="s">
        <v>242</v>
      </c>
      <c r="B82" s="1125" t="s">
        <v>243</v>
      </c>
      <c r="C82" s="1120">
        <v>9499258</v>
      </c>
      <c r="D82" s="1120">
        <v>839708</v>
      </c>
      <c r="E82" s="1121">
        <f t="shared" si="1"/>
        <v>8180292</v>
      </c>
      <c r="F82" s="1121">
        <v>9020000</v>
      </c>
      <c r="G82" s="1138">
        <v>2250000</v>
      </c>
    </row>
    <row r="83" spans="1:7" ht="15.75">
      <c r="A83" s="1137" t="s">
        <v>527</v>
      </c>
      <c r="B83" s="1125" t="s">
        <v>413</v>
      </c>
      <c r="C83" s="1120">
        <v>0</v>
      </c>
      <c r="D83" s="1120">
        <v>0</v>
      </c>
      <c r="E83" s="1121">
        <f t="shared" si="1"/>
        <v>100000</v>
      </c>
      <c r="F83" s="1121">
        <v>100000</v>
      </c>
      <c r="G83" s="1138">
        <v>100000</v>
      </c>
    </row>
    <row r="84" spans="1:7" ht="15.75">
      <c r="A84" s="1137" t="s">
        <v>528</v>
      </c>
      <c r="B84" s="1125" t="s">
        <v>415</v>
      </c>
      <c r="C84" s="1120">
        <v>76324.740000000005</v>
      </c>
      <c r="D84" s="1120">
        <v>0</v>
      </c>
      <c r="E84" s="1121">
        <f t="shared" si="1"/>
        <v>100000</v>
      </c>
      <c r="F84" s="1121">
        <v>100000</v>
      </c>
      <c r="G84" s="1138">
        <v>100000</v>
      </c>
    </row>
    <row r="85" spans="1:7" ht="15.75">
      <c r="A85" s="1137" t="s">
        <v>529</v>
      </c>
      <c r="B85" s="1125" t="s">
        <v>530</v>
      </c>
      <c r="C85" s="1120">
        <v>3500000</v>
      </c>
      <c r="D85" s="1120">
        <v>0</v>
      </c>
      <c r="E85" s="1121">
        <f t="shared" si="1"/>
        <v>3500000</v>
      </c>
      <c r="F85" s="1121">
        <v>3500000</v>
      </c>
      <c r="G85" s="1138">
        <v>0</v>
      </c>
    </row>
    <row r="86" spans="1:7" ht="15.75">
      <c r="A86" s="1137" t="s">
        <v>755</v>
      </c>
      <c r="B86" s="1125" t="s">
        <v>95</v>
      </c>
      <c r="C86" s="1120">
        <v>0</v>
      </c>
      <c r="D86" s="1120">
        <v>0</v>
      </c>
      <c r="E86" s="1121">
        <f t="shared" si="1"/>
        <v>0</v>
      </c>
      <c r="F86" s="1121">
        <v>0</v>
      </c>
      <c r="G86" s="1138">
        <v>0</v>
      </c>
    </row>
    <row r="87" spans="1:7" ht="15.75">
      <c r="A87" s="1137" t="s">
        <v>96</v>
      </c>
      <c r="B87" s="1125" t="s">
        <v>97</v>
      </c>
      <c r="C87" s="1120">
        <v>1634317.9</v>
      </c>
      <c r="D87" s="1120">
        <v>190867.5</v>
      </c>
      <c r="E87" s="1121">
        <f t="shared" si="1"/>
        <v>2339132.5</v>
      </c>
      <c r="F87" s="1121">
        <f>1530000+1000000</f>
        <v>2530000</v>
      </c>
      <c r="G87" s="1138">
        <v>830000</v>
      </c>
    </row>
    <row r="88" spans="1:7" ht="15.75">
      <c r="A88" s="1137" t="s">
        <v>351</v>
      </c>
      <c r="B88" s="1125" t="s">
        <v>352</v>
      </c>
      <c r="C88" s="1120">
        <v>1219206</v>
      </c>
      <c r="D88" s="1120">
        <v>149250</v>
      </c>
      <c r="E88" s="1121">
        <f t="shared" si="1"/>
        <v>-99250</v>
      </c>
      <c r="F88" s="1121">
        <v>50000</v>
      </c>
      <c r="G88" s="1138">
        <v>700000</v>
      </c>
    </row>
    <row r="89" spans="1:7" ht="15.75">
      <c r="A89" s="1137" t="s">
        <v>416</v>
      </c>
      <c r="B89" s="1125" t="s">
        <v>417</v>
      </c>
      <c r="C89" s="1120">
        <v>10000000</v>
      </c>
      <c r="D89" s="1120">
        <v>7562348.3200000003</v>
      </c>
      <c r="E89" s="1121">
        <f t="shared" si="1"/>
        <v>2487651.6799999997</v>
      </c>
      <c r="F89" s="1121">
        <v>10050000</v>
      </c>
      <c r="G89" s="1138">
        <v>5030000</v>
      </c>
    </row>
    <row r="90" spans="1:7" ht="15.75">
      <c r="A90" s="1137" t="s">
        <v>98</v>
      </c>
      <c r="B90" s="1125" t="s">
        <v>99</v>
      </c>
      <c r="C90" s="1120">
        <v>2510400</v>
      </c>
      <c r="D90" s="1120">
        <v>1255998.3999999999</v>
      </c>
      <c r="E90" s="1121">
        <f t="shared" si="1"/>
        <v>3454001.6</v>
      </c>
      <c r="F90" s="1121">
        <v>4710000</v>
      </c>
      <c r="G90" s="1138">
        <v>4600000</v>
      </c>
    </row>
    <row r="91" spans="1:7" ht="16.5">
      <c r="A91" s="1139" t="s">
        <v>276</v>
      </c>
      <c r="B91" s="1125" t="s">
        <v>256</v>
      </c>
      <c r="C91" s="1120">
        <v>1461053.11</v>
      </c>
      <c r="D91" s="1120">
        <v>0</v>
      </c>
      <c r="E91" s="1121">
        <f t="shared" si="1"/>
        <v>3220000</v>
      </c>
      <c r="F91" s="1121">
        <v>3220000</v>
      </c>
      <c r="G91" s="1138">
        <v>13731000</v>
      </c>
    </row>
    <row r="92" spans="1:7" ht="15.75">
      <c r="A92" s="1137" t="s">
        <v>100</v>
      </c>
      <c r="B92" s="1125" t="s">
        <v>101</v>
      </c>
      <c r="C92" s="1120">
        <v>25900856.109999999</v>
      </c>
      <c r="D92" s="1120">
        <v>5421237.5999999996</v>
      </c>
      <c r="E92" s="1121">
        <f t="shared" si="1"/>
        <v>22304882.399999999</v>
      </c>
      <c r="F92" s="1121">
        <v>27726120</v>
      </c>
      <c r="G92" s="1138">
        <v>27430000</v>
      </c>
    </row>
    <row r="93" spans="1:7" ht="15.75">
      <c r="A93" s="1137" t="s">
        <v>226</v>
      </c>
      <c r="B93" s="1125" t="s">
        <v>227</v>
      </c>
      <c r="C93" s="1120">
        <v>23028.01</v>
      </c>
      <c r="D93" s="1120">
        <v>12500</v>
      </c>
      <c r="E93" s="1121">
        <f t="shared" si="1"/>
        <v>197500</v>
      </c>
      <c r="F93" s="1121">
        <v>210000</v>
      </c>
      <c r="G93" s="1138">
        <v>681120</v>
      </c>
    </row>
    <row r="94" spans="1:7" ht="16.5">
      <c r="A94" s="1139" t="s">
        <v>102</v>
      </c>
      <c r="B94" s="1125" t="s">
        <v>103</v>
      </c>
      <c r="C94" s="1120">
        <v>1984454.58</v>
      </c>
      <c r="D94" s="1120">
        <v>0</v>
      </c>
      <c r="E94" s="1121">
        <f t="shared" si="1"/>
        <v>2000000</v>
      </c>
      <c r="F94" s="1121">
        <v>2000000</v>
      </c>
      <c r="G94" s="1138">
        <v>5000000</v>
      </c>
    </row>
    <row r="95" spans="1:7" ht="16.5">
      <c r="A95" s="1139" t="s">
        <v>104</v>
      </c>
      <c r="B95" s="1125" t="s">
        <v>105</v>
      </c>
      <c r="C95" s="1120">
        <v>952400</v>
      </c>
      <c r="D95" s="1120">
        <v>168400</v>
      </c>
      <c r="E95" s="1121">
        <f>F95-D95</f>
        <v>3066600</v>
      </c>
      <c r="F95" s="1121">
        <v>3235000</v>
      </c>
      <c r="G95" s="1138">
        <v>1171000</v>
      </c>
    </row>
    <row r="96" spans="1:7" ht="16.5">
      <c r="A96" s="1139" t="s">
        <v>299</v>
      </c>
      <c r="B96" s="1125" t="s">
        <v>300</v>
      </c>
      <c r="C96" s="1120">
        <v>0</v>
      </c>
      <c r="D96" s="1120">
        <v>0</v>
      </c>
      <c r="E96" s="1121">
        <f t="shared" si="1"/>
        <v>0</v>
      </c>
      <c r="F96" s="1121">
        <v>0</v>
      </c>
      <c r="G96" s="1138">
        <v>0</v>
      </c>
    </row>
    <row r="97" spans="1:7" ht="15.75">
      <c r="A97" s="1137" t="s">
        <v>106</v>
      </c>
      <c r="B97" s="1125" t="s">
        <v>107</v>
      </c>
      <c r="C97" s="1120">
        <v>21500000</v>
      </c>
      <c r="D97" s="1120">
        <v>9513886.0500000007</v>
      </c>
      <c r="E97" s="1121">
        <f t="shared" si="1"/>
        <v>10486113.949999999</v>
      </c>
      <c r="F97" s="1121">
        <v>20000000</v>
      </c>
      <c r="G97" s="1138">
        <v>20000000</v>
      </c>
    </row>
    <row r="98" spans="1:7" ht="16.5" thickBot="1">
      <c r="A98" s="1137" t="s">
        <v>108</v>
      </c>
      <c r="B98" s="1125" t="s">
        <v>109</v>
      </c>
      <c r="C98" s="1120">
        <v>478899860.39999998</v>
      </c>
      <c r="D98" s="1120">
        <v>155523852.88</v>
      </c>
      <c r="E98" s="1121">
        <f t="shared" si="1"/>
        <v>158451570.16000003</v>
      </c>
      <c r="F98" s="1121">
        <v>313975423.04000002</v>
      </c>
      <c r="G98" s="1138">
        <v>268678772</v>
      </c>
    </row>
    <row r="99" spans="1:7" ht="20.25" thickTop="1" thickBot="1">
      <c r="A99" s="1128" t="s">
        <v>532</v>
      </c>
      <c r="B99" s="1129"/>
      <c r="C99" s="1130">
        <f>SUM(C44:C98)</f>
        <v>1043780888.84</v>
      </c>
      <c r="D99" s="1130">
        <f>SUM(D44:D98)</f>
        <v>425310637.53999996</v>
      </c>
      <c r="E99" s="1130">
        <f>SUM(E44:E98)</f>
        <v>692511426.62</v>
      </c>
      <c r="F99" s="1130">
        <f>SUM(F44:F98)</f>
        <v>1117822064.1600001</v>
      </c>
      <c r="G99" s="1130">
        <f>SUM(G44:G98)</f>
        <v>900395473</v>
      </c>
    </row>
    <row r="100" spans="1:7" ht="19.5" thickTop="1">
      <c r="A100" s="1106" t="s">
        <v>533</v>
      </c>
      <c r="B100" s="1107"/>
      <c r="C100" s="1108"/>
      <c r="D100" s="1109"/>
      <c r="E100" s="1109"/>
      <c r="F100" s="1140"/>
      <c r="G100" s="1141"/>
    </row>
    <row r="101" spans="1:7" ht="15.75">
      <c r="A101" s="1142" t="s">
        <v>756</v>
      </c>
      <c r="B101" s="1143" t="s">
        <v>757</v>
      </c>
      <c r="C101" s="1144">
        <v>44114782.109999999</v>
      </c>
      <c r="D101" s="1144">
        <v>47986685.75</v>
      </c>
      <c r="E101" s="1121">
        <f>F101-D101</f>
        <v>94183847.439999998</v>
      </c>
      <c r="F101" s="1121">
        <v>142170533.19</v>
      </c>
      <c r="G101" s="1138">
        <v>436932337.31</v>
      </c>
    </row>
    <row r="102" spans="1:7" ht="15.75">
      <c r="A102" s="1137" t="s">
        <v>431</v>
      </c>
      <c r="B102" s="1143" t="s">
        <v>432</v>
      </c>
      <c r="C102" s="1120">
        <v>27013841.579999998</v>
      </c>
      <c r="D102" s="1121">
        <v>0</v>
      </c>
      <c r="E102" s="1121">
        <f>F102-D102</f>
        <v>0</v>
      </c>
      <c r="F102" s="1121">
        <v>0</v>
      </c>
      <c r="G102" s="1123">
        <v>0</v>
      </c>
    </row>
    <row r="103" spans="1:7" ht="18.75" thickBot="1">
      <c r="A103" s="1145" t="s">
        <v>433</v>
      </c>
      <c r="B103" s="1146" t="s">
        <v>434</v>
      </c>
      <c r="C103" s="1120">
        <v>2253553.17</v>
      </c>
      <c r="D103" s="1121">
        <v>0</v>
      </c>
      <c r="E103" s="1121">
        <f>F103-D103</f>
        <v>0</v>
      </c>
      <c r="F103" s="1121">
        <v>0</v>
      </c>
      <c r="G103" s="1123">
        <v>0</v>
      </c>
    </row>
    <row r="104" spans="1:7" ht="20.25" thickTop="1" thickBot="1">
      <c r="A104" s="1128" t="s">
        <v>534</v>
      </c>
      <c r="B104" s="1129"/>
      <c r="C104" s="1130">
        <f>SUM(C101:C103)</f>
        <v>73382176.859999999</v>
      </c>
      <c r="D104" s="1130">
        <f>SUM(D101:D103)</f>
        <v>47986685.75</v>
      </c>
      <c r="E104" s="1130">
        <f>SUM(E101:E103)</f>
        <v>94183847.439999998</v>
      </c>
      <c r="F104" s="1130">
        <f>SUM(F101:F103)</f>
        <v>142170533.19</v>
      </c>
      <c r="G104" s="1130">
        <f>SUM(G101:G103)</f>
        <v>436932337.31</v>
      </c>
    </row>
    <row r="105" spans="1:7" ht="19.5" thickTop="1">
      <c r="A105" s="1106" t="s">
        <v>535</v>
      </c>
      <c r="B105" s="1107"/>
      <c r="C105" s="1108"/>
      <c r="D105" s="1109"/>
      <c r="E105" s="1109"/>
      <c r="F105" s="1140"/>
      <c r="G105" s="1141"/>
    </row>
    <row r="106" spans="1:7" ht="16.5">
      <c r="A106" s="1147" t="s">
        <v>250</v>
      </c>
      <c r="B106" s="1148" t="s">
        <v>251</v>
      </c>
      <c r="C106" s="1120">
        <v>0</v>
      </c>
      <c r="D106" s="1121">
        <v>0</v>
      </c>
      <c r="E106" s="1121">
        <f>F106-D106</f>
        <v>100000000</v>
      </c>
      <c r="F106" s="1149">
        <v>100000000</v>
      </c>
      <c r="G106" s="1150">
        <v>50000000</v>
      </c>
    </row>
    <row r="107" spans="1:7" ht="16.5">
      <c r="A107" s="1147" t="s">
        <v>201</v>
      </c>
      <c r="B107" s="1148" t="s">
        <v>202</v>
      </c>
      <c r="C107" s="1120"/>
      <c r="D107" s="1121"/>
      <c r="E107" s="1121">
        <f t="shared" ref="E107:E131" si="2">F107-D107</f>
        <v>0</v>
      </c>
      <c r="F107" s="1151"/>
      <c r="G107" s="1150"/>
    </row>
    <row r="108" spans="1:7" ht="16.5">
      <c r="A108" s="1147" t="s">
        <v>758</v>
      </c>
      <c r="B108" s="1148" t="s">
        <v>759</v>
      </c>
      <c r="C108" s="1120"/>
      <c r="D108" s="1121"/>
      <c r="E108" s="1121">
        <v>0</v>
      </c>
      <c r="F108" s="1151"/>
      <c r="G108" s="1150"/>
    </row>
    <row r="109" spans="1:7" ht="16.5">
      <c r="A109" s="1147" t="s">
        <v>464</v>
      </c>
      <c r="B109" s="1148" t="s">
        <v>465</v>
      </c>
      <c r="C109" s="1120">
        <v>0</v>
      </c>
      <c r="D109" s="1121">
        <v>0</v>
      </c>
      <c r="E109" s="1121">
        <f t="shared" si="2"/>
        <v>0</v>
      </c>
      <c r="F109" s="1151">
        <v>0</v>
      </c>
      <c r="G109" s="1150">
        <v>0</v>
      </c>
    </row>
    <row r="110" spans="1:7" ht="16.5">
      <c r="A110" s="1147" t="s">
        <v>466</v>
      </c>
      <c r="B110" s="1148" t="s">
        <v>467</v>
      </c>
      <c r="C110" s="1120">
        <v>0</v>
      </c>
      <c r="D110" s="1121">
        <v>0</v>
      </c>
      <c r="E110" s="1121">
        <f>F110-D110</f>
        <v>0</v>
      </c>
      <c r="F110" s="1151">
        <v>0</v>
      </c>
      <c r="G110" s="1150">
        <v>0</v>
      </c>
    </row>
    <row r="111" spans="1:7" ht="16.5">
      <c r="A111" s="1147" t="s">
        <v>164</v>
      </c>
      <c r="B111" s="1148" t="s">
        <v>165</v>
      </c>
      <c r="C111" s="1120">
        <v>0</v>
      </c>
      <c r="D111" s="1121">
        <v>0</v>
      </c>
      <c r="E111" s="1121">
        <f>F111-D111</f>
        <v>0</v>
      </c>
      <c r="F111" s="1151">
        <v>0</v>
      </c>
      <c r="G111" s="1150">
        <v>0</v>
      </c>
    </row>
    <row r="112" spans="1:7" ht="16.5">
      <c r="A112" s="1147" t="s">
        <v>760</v>
      </c>
      <c r="B112" s="1148" t="s">
        <v>761</v>
      </c>
      <c r="C112" s="1120">
        <v>0</v>
      </c>
      <c r="D112" s="1121"/>
      <c r="E112" s="1121">
        <v>0</v>
      </c>
      <c r="F112" s="1151">
        <v>0</v>
      </c>
      <c r="G112" s="1150">
        <v>0</v>
      </c>
    </row>
    <row r="113" spans="1:7" ht="16.5">
      <c r="A113" s="1147" t="s">
        <v>762</v>
      </c>
      <c r="B113" s="1148" t="s">
        <v>702</v>
      </c>
      <c r="C113" s="1120">
        <v>0</v>
      </c>
      <c r="D113" s="1121"/>
      <c r="E113" s="1121">
        <v>0</v>
      </c>
      <c r="F113" s="1151">
        <v>0</v>
      </c>
      <c r="G113" s="1150">
        <v>0</v>
      </c>
    </row>
    <row r="114" spans="1:7" ht="16.5">
      <c r="A114" s="1147" t="s">
        <v>536</v>
      </c>
      <c r="B114" s="1148" t="s">
        <v>204</v>
      </c>
      <c r="C114" s="1120">
        <v>0</v>
      </c>
      <c r="D114" s="1121">
        <v>0</v>
      </c>
      <c r="E114" s="1121">
        <f>F114-D114</f>
        <v>0</v>
      </c>
      <c r="F114" s="1151">
        <v>0</v>
      </c>
      <c r="G114" s="1150">
        <v>0</v>
      </c>
    </row>
    <row r="115" spans="1:7" ht="16.5">
      <c r="A115" s="1147" t="s">
        <v>763</v>
      </c>
      <c r="B115" s="1148" t="s">
        <v>764</v>
      </c>
      <c r="C115" s="1120"/>
      <c r="D115" s="1121"/>
      <c r="E115" s="1121">
        <f t="shared" si="2"/>
        <v>0</v>
      </c>
      <c r="F115" s="1151">
        <v>0</v>
      </c>
      <c r="G115" s="1150">
        <v>0</v>
      </c>
    </row>
    <row r="116" spans="1:7" ht="16.5">
      <c r="A116" s="1147" t="s">
        <v>167</v>
      </c>
      <c r="B116" s="1148" t="s">
        <v>168</v>
      </c>
      <c r="C116" s="1120">
        <v>103000</v>
      </c>
      <c r="D116" s="1121">
        <v>0</v>
      </c>
      <c r="E116" s="1121">
        <f t="shared" si="2"/>
        <v>1200000</v>
      </c>
      <c r="F116" s="1151">
        <v>1200000</v>
      </c>
      <c r="G116" s="1150">
        <v>600000</v>
      </c>
    </row>
    <row r="117" spans="1:7" ht="16.5">
      <c r="A117" s="1147" t="s">
        <v>205</v>
      </c>
      <c r="B117" s="1148" t="s">
        <v>206</v>
      </c>
      <c r="C117" s="1120">
        <v>344978</v>
      </c>
      <c r="D117" s="1121">
        <v>349970</v>
      </c>
      <c r="E117" s="1121">
        <f t="shared" si="2"/>
        <v>2520030</v>
      </c>
      <c r="F117" s="1151">
        <v>2870000</v>
      </c>
      <c r="G117" s="1150">
        <f>220000+250000</f>
        <v>470000</v>
      </c>
    </row>
    <row r="118" spans="1:7" ht="16.5">
      <c r="A118" s="1147" t="s">
        <v>765</v>
      </c>
      <c r="B118" s="1148" t="s">
        <v>766</v>
      </c>
      <c r="C118" s="1120"/>
      <c r="D118" s="1121"/>
      <c r="E118" s="1121">
        <f t="shared" si="2"/>
        <v>0</v>
      </c>
      <c r="F118" s="1151">
        <v>0</v>
      </c>
      <c r="G118" s="1150">
        <v>0</v>
      </c>
    </row>
    <row r="119" spans="1:7" ht="16.5">
      <c r="A119" s="1147" t="s">
        <v>207</v>
      </c>
      <c r="B119" s="1148" t="s">
        <v>208</v>
      </c>
      <c r="C119" s="1120">
        <v>148680</v>
      </c>
      <c r="D119" s="1121">
        <v>195750</v>
      </c>
      <c r="E119" s="1121">
        <f t="shared" si="2"/>
        <v>1614250</v>
      </c>
      <c r="F119" s="1151">
        <v>1810000</v>
      </c>
      <c r="G119" s="1150">
        <v>146000</v>
      </c>
    </row>
    <row r="120" spans="1:7" ht="16.5">
      <c r="A120" s="1147" t="s">
        <v>537</v>
      </c>
      <c r="B120" s="1148" t="s">
        <v>538</v>
      </c>
      <c r="C120" s="1120">
        <f>9971555-9971555</f>
        <v>0</v>
      </c>
      <c r="D120" s="1121">
        <v>0</v>
      </c>
      <c r="E120" s="1121">
        <f t="shared" si="2"/>
        <v>0</v>
      </c>
      <c r="F120" s="1151">
        <v>0</v>
      </c>
      <c r="G120" s="1150">
        <v>0</v>
      </c>
    </row>
    <row r="121" spans="1:7" ht="16.5">
      <c r="A121" s="1147" t="s">
        <v>363</v>
      </c>
      <c r="B121" s="1148" t="s">
        <v>364</v>
      </c>
      <c r="C121" s="1120">
        <f>21516000-20572000</f>
        <v>944000</v>
      </c>
      <c r="D121" s="1121">
        <v>0</v>
      </c>
      <c r="E121" s="1121">
        <f>F121-D121</f>
        <v>5000000</v>
      </c>
      <c r="F121" s="1151">
        <v>5000000</v>
      </c>
      <c r="G121" s="1150">
        <v>0</v>
      </c>
    </row>
    <row r="122" spans="1:7" ht="16.5">
      <c r="A122" s="1147" t="s">
        <v>450</v>
      </c>
      <c r="B122" s="1148" t="s">
        <v>451</v>
      </c>
      <c r="C122" s="1120">
        <v>0</v>
      </c>
      <c r="D122" s="1121">
        <v>0</v>
      </c>
      <c r="E122" s="1121">
        <f t="shared" si="2"/>
        <v>0</v>
      </c>
      <c r="F122" s="1151">
        <v>0</v>
      </c>
      <c r="G122" s="1150">
        <v>0</v>
      </c>
    </row>
    <row r="123" spans="1:7" ht="16.5">
      <c r="A123" s="1147" t="s">
        <v>767</v>
      </c>
      <c r="B123" s="1148" t="s">
        <v>768</v>
      </c>
      <c r="C123" s="1120"/>
      <c r="D123" s="1121"/>
      <c r="E123" s="1121">
        <f t="shared" si="2"/>
        <v>0</v>
      </c>
      <c r="F123" s="1151">
        <v>0</v>
      </c>
      <c r="G123" s="1150">
        <v>0</v>
      </c>
    </row>
    <row r="124" spans="1:7" ht="16.5">
      <c r="A124" s="1147" t="s">
        <v>769</v>
      </c>
      <c r="B124" s="1148" t="s">
        <v>770</v>
      </c>
      <c r="C124" s="1120"/>
      <c r="D124" s="1121"/>
      <c r="E124" s="1121">
        <f t="shared" si="2"/>
        <v>0</v>
      </c>
      <c r="F124" s="1151">
        <v>0</v>
      </c>
      <c r="G124" s="1150">
        <v>0</v>
      </c>
    </row>
    <row r="125" spans="1:7" ht="16.5">
      <c r="A125" s="1147" t="s">
        <v>419</v>
      </c>
      <c r="B125" s="1148" t="s">
        <v>420</v>
      </c>
      <c r="C125" s="1120">
        <v>0</v>
      </c>
      <c r="D125" s="1121">
        <v>0</v>
      </c>
      <c r="E125" s="1121">
        <f t="shared" si="2"/>
        <v>0</v>
      </c>
      <c r="F125" s="1151">
        <v>0</v>
      </c>
      <c r="G125" s="1150">
        <v>0</v>
      </c>
    </row>
    <row r="126" spans="1:7" ht="16.5">
      <c r="A126" s="1147" t="s">
        <v>209</v>
      </c>
      <c r="B126" s="1148" t="s">
        <v>210</v>
      </c>
      <c r="C126" s="1120">
        <v>0</v>
      </c>
      <c r="D126" s="1121">
        <v>0</v>
      </c>
      <c r="E126" s="1121">
        <f t="shared" si="2"/>
        <v>0</v>
      </c>
      <c r="F126" s="1151">
        <v>0</v>
      </c>
      <c r="G126" s="1150">
        <v>2100000</v>
      </c>
    </row>
    <row r="127" spans="1:7" ht="16.5">
      <c r="A127" s="1147" t="s">
        <v>771</v>
      </c>
      <c r="B127" s="1148" t="s">
        <v>772</v>
      </c>
      <c r="C127" s="1120"/>
      <c r="D127" s="1121"/>
      <c r="E127" s="1121">
        <f t="shared" si="2"/>
        <v>0</v>
      </c>
      <c r="F127" s="1151"/>
      <c r="G127" s="1150"/>
    </row>
    <row r="128" spans="1:7" ht="16.5">
      <c r="A128" s="1147" t="s">
        <v>169</v>
      </c>
      <c r="B128" s="1148" t="s">
        <v>170</v>
      </c>
      <c r="C128" s="1120">
        <v>0</v>
      </c>
      <c r="D128" s="1121">
        <v>0</v>
      </c>
      <c r="E128" s="1121">
        <f t="shared" si="2"/>
        <v>150000</v>
      </c>
      <c r="F128" s="1151">
        <v>150000</v>
      </c>
      <c r="G128" s="1150">
        <v>0</v>
      </c>
    </row>
    <row r="129" spans="1:7" ht="16.5">
      <c r="A129" s="1147" t="s">
        <v>773</v>
      </c>
      <c r="B129" s="1148" t="s">
        <v>774</v>
      </c>
      <c r="C129" s="1120"/>
      <c r="D129" s="1121"/>
      <c r="E129" s="1121">
        <f t="shared" si="2"/>
        <v>0</v>
      </c>
      <c r="F129" s="1151"/>
      <c r="G129" s="1150"/>
    </row>
    <row r="130" spans="1:7" ht="16.5">
      <c r="A130" s="1147" t="s">
        <v>314</v>
      </c>
      <c r="B130" s="1148" t="s">
        <v>212</v>
      </c>
      <c r="C130" s="1120">
        <v>0</v>
      </c>
      <c r="D130" s="1121">
        <v>0</v>
      </c>
      <c r="E130" s="1121">
        <f t="shared" si="2"/>
        <v>0</v>
      </c>
      <c r="F130" s="1151">
        <v>0</v>
      </c>
      <c r="G130" s="1150">
        <v>0</v>
      </c>
    </row>
    <row r="131" spans="1:7" ht="17.25" thickBot="1">
      <c r="A131" s="1147" t="s">
        <v>775</v>
      </c>
      <c r="B131" s="1148" t="s">
        <v>776</v>
      </c>
      <c r="C131" s="1120">
        <v>0</v>
      </c>
      <c r="D131" s="1121">
        <v>0</v>
      </c>
      <c r="E131" s="1121">
        <f t="shared" si="2"/>
        <v>0</v>
      </c>
      <c r="F131" s="1121">
        <v>0</v>
      </c>
      <c r="G131" s="1152">
        <v>0</v>
      </c>
    </row>
    <row r="132" spans="1:7" ht="20.25" thickTop="1" thickBot="1">
      <c r="A132" s="1128" t="s">
        <v>539</v>
      </c>
      <c r="B132" s="1129"/>
      <c r="C132" s="1130">
        <f>SUM(C107:C131)</f>
        <v>1540658</v>
      </c>
      <c r="D132" s="1130">
        <f>SUM(D107:D131)</f>
        <v>545720</v>
      </c>
      <c r="E132" s="1130">
        <f>F132-D132</f>
        <v>110484280</v>
      </c>
      <c r="F132" s="1130">
        <f>SUM(F106:F131)</f>
        <v>111030000</v>
      </c>
      <c r="G132" s="1130">
        <f>SUM(G106:G131)</f>
        <v>53316000</v>
      </c>
    </row>
    <row r="133" spans="1:7" ht="19.5" thickTop="1">
      <c r="A133" s="1106" t="s">
        <v>172</v>
      </c>
      <c r="B133" s="1107"/>
      <c r="C133" s="1108"/>
      <c r="D133" s="1109"/>
      <c r="E133" s="1109"/>
      <c r="F133" s="1140"/>
      <c r="G133" s="1141"/>
    </row>
    <row r="134" spans="1:7" ht="15.75">
      <c r="A134" s="1142" t="s">
        <v>540</v>
      </c>
      <c r="B134" s="1153"/>
      <c r="C134" s="1144">
        <v>89045231.939999998</v>
      </c>
      <c r="D134" s="1144">
        <v>0</v>
      </c>
      <c r="E134" s="1121">
        <f t="shared" ref="E134:E145" si="3">F134-D134</f>
        <v>242673755.19999999</v>
      </c>
      <c r="F134" s="1121">
        <v>242673755.19999999</v>
      </c>
      <c r="G134" s="1138">
        <v>287270933</v>
      </c>
    </row>
    <row r="135" spans="1:7" ht="36">
      <c r="A135" s="1154" t="s">
        <v>541</v>
      </c>
      <c r="B135" s="1155"/>
      <c r="C135" s="1120">
        <v>49237306.810000002</v>
      </c>
      <c r="D135" s="1120">
        <v>1296015.23</v>
      </c>
      <c r="E135" s="1121">
        <f t="shared" si="3"/>
        <v>134055994.27</v>
      </c>
      <c r="F135" s="1121">
        <v>135352009.5</v>
      </c>
      <c r="G135" s="1138">
        <v>146862953.94999999</v>
      </c>
    </row>
    <row r="136" spans="1:7" ht="15.75">
      <c r="A136" s="1142" t="s">
        <v>542</v>
      </c>
      <c r="B136" s="1153"/>
      <c r="C136" s="1144">
        <v>723298.17</v>
      </c>
      <c r="D136" s="1144">
        <v>0</v>
      </c>
      <c r="E136" s="1121">
        <f t="shared" si="3"/>
        <v>0</v>
      </c>
      <c r="F136" s="1121">
        <v>0</v>
      </c>
      <c r="G136" s="1138">
        <v>0</v>
      </c>
    </row>
    <row r="137" spans="1:7" ht="15.75">
      <c r="A137" s="1142" t="s">
        <v>543</v>
      </c>
      <c r="B137" s="1153"/>
      <c r="C137" s="1144">
        <v>53325000</v>
      </c>
      <c r="D137" s="1144">
        <v>23237000</v>
      </c>
      <c r="E137" s="1121">
        <f t="shared" si="3"/>
        <v>23767678.609999999</v>
      </c>
      <c r="F137" s="1121">
        <v>47004678.609999999</v>
      </c>
      <c r="G137" s="1138">
        <v>51123468.689999998</v>
      </c>
    </row>
    <row r="138" spans="1:7" ht="15.75">
      <c r="A138" s="1142" t="s">
        <v>544</v>
      </c>
      <c r="B138" s="1153"/>
      <c r="C138" s="1144">
        <v>1050000</v>
      </c>
      <c r="D138" s="1144">
        <v>0</v>
      </c>
      <c r="E138" s="1121">
        <f t="shared" si="3"/>
        <v>1050000</v>
      </c>
      <c r="F138" s="1121">
        <v>1050000</v>
      </c>
      <c r="G138" s="1138">
        <v>1050000</v>
      </c>
    </row>
    <row r="139" spans="1:7" ht="15.75">
      <c r="A139" s="1142" t="s">
        <v>545</v>
      </c>
      <c r="B139" s="1153"/>
      <c r="C139" s="1144">
        <v>106027823.02</v>
      </c>
      <c r="D139" s="1144">
        <v>49652872.5</v>
      </c>
      <c r="E139" s="1121">
        <f t="shared" si="3"/>
        <v>56597127.5</v>
      </c>
      <c r="F139" s="1121">
        <v>106250000</v>
      </c>
      <c r="G139" s="1138">
        <f>146862953.95-3392933.31</f>
        <v>143470020.63999999</v>
      </c>
    </row>
    <row r="140" spans="1:7" ht="15.75">
      <c r="A140" s="1142" t="s">
        <v>546</v>
      </c>
      <c r="B140" s="1153"/>
      <c r="C140" s="1144">
        <v>36638776.170000002</v>
      </c>
      <c r="D140" s="1144">
        <v>347474.86</v>
      </c>
      <c r="E140" s="1121">
        <f t="shared" si="3"/>
        <v>29986744.539999999</v>
      </c>
      <c r="F140" s="1121">
        <v>30334219.399999999</v>
      </c>
      <c r="G140" s="1138">
        <v>35908866.630000003</v>
      </c>
    </row>
    <row r="141" spans="1:7" ht="15.75">
      <c r="A141" s="1142" t="s">
        <v>547</v>
      </c>
      <c r="B141" s="1153"/>
      <c r="C141" s="1144">
        <v>2000000</v>
      </c>
      <c r="D141" s="1144">
        <v>0</v>
      </c>
      <c r="E141" s="1121">
        <f t="shared" si="3"/>
        <v>2000000</v>
      </c>
      <c r="F141" s="1121">
        <v>2000000</v>
      </c>
      <c r="G141" s="1138">
        <v>2000000</v>
      </c>
    </row>
    <row r="142" spans="1:7" ht="15.75">
      <c r="A142" s="1142" t="s">
        <v>548</v>
      </c>
      <c r="B142" s="1153"/>
      <c r="C142" s="1144">
        <v>26144544.640000001</v>
      </c>
      <c r="D142" s="1144">
        <v>14575511.65</v>
      </c>
      <c r="E142" s="1121">
        <f>F142-D142</f>
        <v>15758707.749999998</v>
      </c>
      <c r="F142" s="1121">
        <v>30334219.399999999</v>
      </c>
      <c r="G142" s="1138">
        <v>35908866.630000003</v>
      </c>
    </row>
    <row r="143" spans="1:7" ht="15.75">
      <c r="A143" s="1142" t="s">
        <v>549</v>
      </c>
      <c r="B143" s="1153"/>
      <c r="C143" s="1144">
        <v>5488500</v>
      </c>
      <c r="D143" s="1144">
        <v>1272500</v>
      </c>
      <c r="E143" s="1121">
        <f>F143-D143</f>
        <v>10861187.76</v>
      </c>
      <c r="F143" s="1121">
        <v>12133687.76</v>
      </c>
      <c r="G143" s="1138">
        <v>14363546.65</v>
      </c>
    </row>
    <row r="144" spans="1:7" ht="15.75">
      <c r="A144" s="1142" t="s">
        <v>550</v>
      </c>
      <c r="B144" s="1153"/>
      <c r="C144" s="1144">
        <v>2669116.91</v>
      </c>
      <c r="D144" s="1144">
        <v>2204685.59</v>
      </c>
      <c r="E144" s="1121">
        <f t="shared" si="3"/>
        <v>9929002.1699999999</v>
      </c>
      <c r="F144" s="1121">
        <v>12133687.76</v>
      </c>
      <c r="G144" s="1138">
        <v>14636546.65</v>
      </c>
    </row>
    <row r="145" spans="1:7" ht="16.5" thickBot="1">
      <c r="A145" s="1142" t="s">
        <v>551</v>
      </c>
      <c r="B145" s="1153"/>
      <c r="C145" s="1144">
        <v>6385837.8499999996</v>
      </c>
      <c r="D145" s="1144">
        <v>825000</v>
      </c>
      <c r="E145" s="1121">
        <f t="shared" si="3"/>
        <v>11308687.76</v>
      </c>
      <c r="F145" s="1156">
        <v>12133687.76</v>
      </c>
      <c r="G145" s="1138">
        <v>29372590.800000001</v>
      </c>
    </row>
    <row r="146" spans="1:7" ht="20.25" thickTop="1" thickBot="1">
      <c r="A146" s="1128" t="s">
        <v>552</v>
      </c>
      <c r="B146" s="1129"/>
      <c r="C146" s="1130">
        <f>SUM(C134:C145)</f>
        <v>378735435.51000005</v>
      </c>
      <c r="D146" s="1130">
        <f>SUM(D134:D145)</f>
        <v>93411059.830000013</v>
      </c>
      <c r="E146" s="1130">
        <f>F146-D146</f>
        <v>537988885.55999994</v>
      </c>
      <c r="F146" s="1130">
        <f>SUM(F134:F145)</f>
        <v>631399945.38999999</v>
      </c>
      <c r="G146" s="1130">
        <f>SUM(G134:G145)</f>
        <v>761967793.63999987</v>
      </c>
    </row>
    <row r="147" spans="1:7" ht="20.25" thickTop="1" thickBot="1">
      <c r="A147" s="1128" t="s">
        <v>777</v>
      </c>
      <c r="B147" s="1129"/>
      <c r="C147" s="1130">
        <f>C146+C132+C104+C99+C42</f>
        <v>2061347403.1600001</v>
      </c>
      <c r="D147" s="1130">
        <f>D146+D132+D104+D99+D42</f>
        <v>829131767.74000001</v>
      </c>
      <c r="E147" s="1130">
        <f>F147-D147</f>
        <v>1882133422.26</v>
      </c>
      <c r="F147" s="1130">
        <f>F146+F132+F104+F99+F42</f>
        <v>2711265190</v>
      </c>
      <c r="G147" s="1130">
        <f>G146+G132+G104+G99+G42</f>
        <v>2941484079</v>
      </c>
    </row>
    <row r="148" spans="1:7" ht="19.5" thickTop="1">
      <c r="A148" s="1157"/>
      <c r="B148" s="1158"/>
      <c r="C148" s="1159"/>
      <c r="D148" s="1159"/>
      <c r="E148" s="1159"/>
      <c r="F148" s="1159"/>
      <c r="G148" s="1159"/>
    </row>
    <row r="149" spans="1:7" ht="18.75">
      <c r="A149" s="1160"/>
      <c r="B149" s="1105"/>
      <c r="C149" s="1161"/>
      <c r="D149" s="1161"/>
      <c r="E149" s="1161"/>
      <c r="F149" s="1161"/>
      <c r="G149" s="1161"/>
    </row>
    <row r="150" spans="1:7">
      <c r="A150" s="1195" t="s">
        <v>778</v>
      </c>
      <c r="B150" s="1195"/>
      <c r="C150" s="1195"/>
      <c r="D150" s="1195"/>
      <c r="E150" s="1195"/>
      <c r="F150" s="1195"/>
      <c r="G150" s="1195"/>
    </row>
    <row r="151" spans="1:7">
      <c r="A151" s="1195"/>
      <c r="B151" s="1195"/>
      <c r="C151" s="1195"/>
      <c r="D151" s="1195"/>
      <c r="E151" s="1195"/>
      <c r="F151" s="1195"/>
      <c r="G151" s="1195"/>
    </row>
    <row r="152" spans="1:7" ht="16.5">
      <c r="A152" s="1163"/>
      <c r="B152" s="1164"/>
      <c r="C152" s="1165"/>
      <c r="D152" s="1166"/>
      <c r="E152" s="1164"/>
      <c r="F152" s="1167"/>
      <c r="G152" s="1164"/>
    </row>
    <row r="153" spans="1:7" ht="16.5">
      <c r="A153" s="1163"/>
      <c r="B153" s="1164"/>
      <c r="C153" s="1165"/>
      <c r="D153" s="1166"/>
      <c r="E153" s="1164"/>
      <c r="F153" s="1167"/>
      <c r="G153" s="1164"/>
    </row>
    <row r="154" spans="1:7" ht="18">
      <c r="A154" s="1168"/>
      <c r="B154" s="1162"/>
      <c r="C154" s="1169"/>
      <c r="D154" s="1170"/>
      <c r="E154" s="1164"/>
      <c r="F154" s="1164"/>
      <c r="G154" s="1164"/>
    </row>
    <row r="155" spans="1:7" ht="16.5">
      <c r="A155" s="1164"/>
      <c r="B155" s="1164"/>
      <c r="C155" s="1171"/>
      <c r="D155" s="1164"/>
      <c r="E155" s="1164"/>
      <c r="F155" s="1164"/>
      <c r="G155" s="1164"/>
    </row>
    <row r="156" spans="1:7" ht="21">
      <c r="A156" s="1196" t="s">
        <v>779</v>
      </c>
      <c r="B156" s="1196"/>
      <c r="C156" s="1172"/>
      <c r="D156" s="1192" t="s">
        <v>187</v>
      </c>
      <c r="E156" s="1192"/>
      <c r="F156" s="1192"/>
      <c r="G156" s="1192"/>
    </row>
    <row r="157" spans="1:7" ht="18.75">
      <c r="A157" s="1197" t="s">
        <v>780</v>
      </c>
      <c r="B157" s="1197"/>
      <c r="C157" s="1173"/>
      <c r="D157" s="1193" t="s">
        <v>190</v>
      </c>
      <c r="E157" s="1193"/>
      <c r="F157" s="1193"/>
      <c r="G157" s="1193"/>
    </row>
    <row r="158" spans="1:7" ht="16.5">
      <c r="A158" s="1163"/>
      <c r="B158" s="1164"/>
      <c r="C158" s="1165"/>
      <c r="D158" s="1166"/>
      <c r="E158" s="1164"/>
      <c r="F158" s="1167"/>
      <c r="G158" s="1164"/>
    </row>
    <row r="159" spans="1:7" ht="16.5">
      <c r="A159" s="1163"/>
      <c r="B159" s="1164"/>
      <c r="C159" s="1165"/>
      <c r="D159" s="1166"/>
      <c r="E159" s="1164"/>
      <c r="F159" s="1167"/>
      <c r="G159" s="1164"/>
    </row>
    <row r="160" spans="1:7" ht="18">
      <c r="A160" s="1168"/>
      <c r="B160" s="1162"/>
      <c r="C160" s="1169"/>
      <c r="D160" s="1170"/>
      <c r="E160" s="1164"/>
      <c r="F160" s="1164"/>
      <c r="G160" s="1164"/>
    </row>
    <row r="161" spans="1:7" ht="16.5">
      <c r="A161" s="1164"/>
      <c r="B161" s="1164"/>
      <c r="C161" s="1171"/>
      <c r="D161" s="1164"/>
      <c r="E161" s="1164"/>
      <c r="F161" s="1164"/>
      <c r="G161" s="1164"/>
    </row>
    <row r="162" spans="1:7" ht="21">
      <c r="A162" s="1192" t="s">
        <v>187</v>
      </c>
      <c r="B162" s="1192"/>
      <c r="C162" s="1172"/>
      <c r="D162" s="1192" t="s">
        <v>781</v>
      </c>
      <c r="E162" s="1192"/>
      <c r="F162" s="1192"/>
      <c r="G162" s="1192"/>
    </row>
    <row r="163" spans="1:7" ht="18.75">
      <c r="A163" s="1193" t="s">
        <v>397</v>
      </c>
      <c r="B163" s="1193"/>
      <c r="C163" s="1173"/>
      <c r="D163" s="1193" t="s">
        <v>782</v>
      </c>
      <c r="E163" s="1193"/>
      <c r="F163" s="1193"/>
      <c r="G163" s="1193"/>
    </row>
    <row r="164" spans="1:7" ht="18">
      <c r="A164" s="1174"/>
      <c r="B164" s="1175"/>
      <c r="C164" s="1176"/>
      <c r="D164" s="1162"/>
      <c r="E164" s="1177"/>
      <c r="F164" s="1175"/>
      <c r="G164" s="1162"/>
    </row>
    <row r="165" spans="1:7" ht="16.5">
      <c r="A165" s="1162"/>
      <c r="B165" s="1178"/>
      <c r="C165" s="1179"/>
      <c r="D165" s="1177"/>
      <c r="E165" s="1177"/>
      <c r="F165" s="1162"/>
      <c r="G165" s="1162"/>
    </row>
    <row r="166" spans="1:7" ht="18.75">
      <c r="A166" s="1162"/>
      <c r="B166" s="1180" t="s">
        <v>185</v>
      </c>
      <c r="C166" s="1179"/>
      <c r="D166" s="1177"/>
      <c r="E166" s="1177"/>
      <c r="F166" s="1162"/>
      <c r="G166" s="1162"/>
    </row>
    <row r="167" spans="1:7" ht="18.75">
      <c r="A167" s="1181"/>
      <c r="B167" s="1194"/>
      <c r="C167" s="1194"/>
      <c r="D167" s="1182"/>
      <c r="E167" s="1182"/>
      <c r="F167" s="1190"/>
      <c r="G167" s="1190"/>
    </row>
    <row r="168" spans="1:7" ht="18.75">
      <c r="A168" s="1181"/>
      <c r="B168" s="1182"/>
      <c r="C168" s="1183"/>
      <c r="D168" s="1182"/>
      <c r="E168" s="1182"/>
      <c r="F168" s="1181"/>
      <c r="G168" s="1181"/>
    </row>
    <row r="169" spans="1:7" ht="18.75">
      <c r="A169" s="1184"/>
      <c r="B169" s="1188"/>
      <c r="C169" s="1188"/>
      <c r="D169" s="1185"/>
      <c r="E169" s="1185"/>
      <c r="F169" s="1189"/>
      <c r="G169" s="1189"/>
    </row>
    <row r="170" spans="1:7" ht="15.75">
      <c r="A170" s="1094"/>
      <c r="B170" s="1178"/>
      <c r="C170" s="1186"/>
      <c r="D170" s="1187"/>
      <c r="E170" s="1187"/>
      <c r="F170" s="1094"/>
      <c r="G170" s="1094"/>
    </row>
    <row r="171" spans="1:7" ht="18.75">
      <c r="A171" s="1190" t="s">
        <v>188</v>
      </c>
      <c r="B171" s="1190"/>
      <c r="C171" s="1190"/>
      <c r="D171" s="1190"/>
      <c r="E171" s="1190"/>
      <c r="F171" s="1190"/>
      <c r="G171" s="1190"/>
    </row>
    <row r="172" spans="1:7" ht="17.25">
      <c r="A172" s="1191" t="s">
        <v>191</v>
      </c>
      <c r="B172" s="1191"/>
      <c r="C172" s="1191"/>
      <c r="D172" s="1191"/>
      <c r="E172" s="1191"/>
      <c r="F172" s="1191"/>
      <c r="G172" s="1191"/>
    </row>
  </sheetData>
  <sheetProtection algorithmName="SHA-512" hashValue="TER/Dk88N+Dc46CrbgW6TZ+oQWxMq7pSJSgmfncQY5HYPc3QxQ+KOukJVxpPrwdNktMmg5UsFZ2QEgcTjk5hOA==" saltValue="k+yjdyVpgoUxCVvJOJ8xCQ==" spinCount="100000" sheet="1" formatCells="0" formatColumns="0" formatRows="0" insertColumns="0" insertRows="0" insertHyperlinks="0" deleteColumns="0" deleteRows="0" sort="0" autoFilter="0" pivotTables="0"/>
  <mergeCells count="22">
    <mergeCell ref="A3:G3"/>
    <mergeCell ref="A9:A11"/>
    <mergeCell ref="B9:B11"/>
    <mergeCell ref="C9:C11"/>
    <mergeCell ref="D9:F9"/>
    <mergeCell ref="G9:G11"/>
    <mergeCell ref="F10:F11"/>
    <mergeCell ref="A150:G151"/>
    <mergeCell ref="A156:B156"/>
    <mergeCell ref="D156:G156"/>
    <mergeCell ref="A157:B157"/>
    <mergeCell ref="D157:G157"/>
    <mergeCell ref="B169:C169"/>
    <mergeCell ref="F169:G169"/>
    <mergeCell ref="A171:G171"/>
    <mergeCell ref="A172:G172"/>
    <mergeCell ref="A162:B162"/>
    <mergeCell ref="D162:G162"/>
    <mergeCell ref="A163:B163"/>
    <mergeCell ref="D163:G163"/>
    <mergeCell ref="B167:C167"/>
    <mergeCell ref="F167:G167"/>
  </mergeCells>
  <printOptions horizontalCentered="1"/>
  <pageMargins left="0.45" right="0.45" top="0.75" bottom="0.5" header="0.3" footer="0.3"/>
  <pageSetup paperSize="10000" scale="57" fitToHeight="0" orientation="portrait" r:id="rId1"/>
  <headerFoot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286C9-6E94-4620-8BA4-A025DA5FD03F}">
  <dimension ref="A1:K1003"/>
  <sheetViews>
    <sheetView topLeftCell="A40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8" width="8.85546875" style="314"/>
    <col min="9" max="11" width="13" style="314" bestFit="1" customWidth="1"/>
    <col min="12" max="16384" width="8.85546875" style="314"/>
  </cols>
  <sheetData>
    <row r="1" spans="1:7" ht="18">
      <c r="A1" s="554" t="s">
        <v>13</v>
      </c>
      <c r="B1" s="312"/>
      <c r="C1" s="313"/>
      <c r="D1" s="313"/>
      <c r="E1" s="313"/>
      <c r="F1" s="312"/>
      <c r="G1" s="312"/>
    </row>
    <row r="2" spans="1:7" ht="18">
      <c r="A2" s="1227" t="s">
        <v>0</v>
      </c>
      <c r="B2" s="1227"/>
      <c r="C2" s="1227"/>
      <c r="D2" s="1227"/>
      <c r="E2" s="1227"/>
      <c r="F2" s="1227"/>
      <c r="G2" s="1227"/>
    </row>
    <row r="3" spans="1:7" ht="18">
      <c r="A3" s="1227" t="s">
        <v>14</v>
      </c>
      <c r="B3" s="1227"/>
      <c r="C3" s="1227"/>
      <c r="D3" s="1227"/>
      <c r="E3" s="1227"/>
      <c r="F3" s="1227"/>
      <c r="G3" s="1227"/>
    </row>
    <row r="4" spans="1:7" ht="18">
      <c r="A4" s="315"/>
      <c r="B4" s="315"/>
      <c r="C4" s="316"/>
      <c r="D4" s="316"/>
      <c r="E4" s="316"/>
      <c r="F4" s="315"/>
      <c r="G4" s="315"/>
    </row>
    <row r="5" spans="1:7" ht="19.5" thickBot="1">
      <c r="A5" s="317" t="s">
        <v>673</v>
      </c>
      <c r="B5" s="317"/>
      <c r="C5" s="317"/>
      <c r="D5" s="555"/>
      <c r="E5" s="317"/>
      <c r="F5" s="317"/>
      <c r="G5" s="317"/>
    </row>
    <row r="6" spans="1:7" ht="17.45" customHeight="1" thickTop="1" thickBot="1">
      <c r="A6" s="1228" t="s">
        <v>16</v>
      </c>
      <c r="B6" s="1228" t="s">
        <v>583</v>
      </c>
      <c r="C6" s="1230" t="s">
        <v>584</v>
      </c>
      <c r="D6" s="1268" t="s">
        <v>574</v>
      </c>
      <c r="E6" s="1269"/>
      <c r="F6" s="1270"/>
      <c r="G6" s="1230" t="s">
        <v>614</v>
      </c>
    </row>
    <row r="7" spans="1:7" ht="36.75" thickTop="1">
      <c r="A7" s="1266"/>
      <c r="B7" s="1266"/>
      <c r="C7" s="1267"/>
      <c r="D7" s="319" t="s">
        <v>21</v>
      </c>
      <c r="E7" s="319" t="s">
        <v>22</v>
      </c>
      <c r="F7" s="1228" t="s">
        <v>23</v>
      </c>
      <c r="G7" s="1267"/>
    </row>
    <row r="8" spans="1:7" ht="18">
      <c r="A8" s="1266"/>
      <c r="B8" s="1266"/>
      <c r="C8" s="1267"/>
      <c r="D8" s="321" t="s">
        <v>24</v>
      </c>
      <c r="E8" s="321" t="s">
        <v>25</v>
      </c>
      <c r="F8" s="1266"/>
      <c r="G8" s="1267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5"/>
      <c r="C10" s="326"/>
      <c r="D10" s="326"/>
      <c r="E10" s="326"/>
      <c r="F10" s="326"/>
      <c r="G10" s="327"/>
    </row>
    <row r="11" spans="1:7" ht="18">
      <c r="A11" s="328" t="s">
        <v>34</v>
      </c>
      <c r="B11" s="329"/>
      <c r="C11" s="330"/>
      <c r="D11" s="331"/>
      <c r="E11" s="331"/>
      <c r="F11" s="331"/>
      <c r="G11" s="332"/>
    </row>
    <row r="12" spans="1:7" ht="18">
      <c r="A12" s="340" t="s">
        <v>35</v>
      </c>
      <c r="B12" s="382"/>
      <c r="C12" s="335"/>
      <c r="D12" s="336"/>
      <c r="E12" s="336"/>
      <c r="F12" s="336"/>
      <c r="G12" s="337"/>
    </row>
    <row r="13" spans="1:7" ht="18">
      <c r="A13" s="338" t="s">
        <v>36</v>
      </c>
      <c r="B13" s="339" t="s">
        <v>37</v>
      </c>
      <c r="C13" s="56">
        <v>176136</v>
      </c>
      <c r="D13" s="36">
        <v>88068</v>
      </c>
      <c r="E13" s="36">
        <f t="shared" ref="E13:E14" si="0">F13-D13</f>
        <v>1074936</v>
      </c>
      <c r="F13" s="37">
        <v>1163004</v>
      </c>
      <c r="G13" s="37">
        <v>1241855</v>
      </c>
    </row>
    <row r="14" spans="1:7" ht="18">
      <c r="A14" s="338" t="s">
        <v>216</v>
      </c>
      <c r="B14" s="339" t="s">
        <v>39</v>
      </c>
      <c r="C14" s="56">
        <v>312000</v>
      </c>
      <c r="D14" s="36">
        <v>78000</v>
      </c>
      <c r="E14" s="36">
        <f t="shared" si="0"/>
        <v>234000</v>
      </c>
      <c r="F14" s="37">
        <v>312000</v>
      </c>
      <c r="G14" s="37">
        <v>330030</v>
      </c>
    </row>
    <row r="15" spans="1:7" ht="18">
      <c r="A15" s="340" t="s">
        <v>40</v>
      </c>
      <c r="B15" s="339"/>
      <c r="C15" s="56"/>
      <c r="D15" s="36"/>
      <c r="E15" s="85"/>
      <c r="F15" s="37"/>
      <c r="G15" s="37"/>
    </row>
    <row r="16" spans="1:7" ht="18">
      <c r="A16" s="338" t="s">
        <v>41</v>
      </c>
      <c r="B16" s="339" t="s">
        <v>42</v>
      </c>
      <c r="C16" s="56">
        <v>72000</v>
      </c>
      <c r="D16" s="36">
        <v>24000</v>
      </c>
      <c r="E16" s="36">
        <f t="shared" ref="E16:E17" si="1">F16-D16</f>
        <v>120000</v>
      </c>
      <c r="F16" s="37">
        <v>144000</v>
      </c>
      <c r="G16" s="37">
        <v>144000</v>
      </c>
    </row>
    <row r="17" spans="1:9" ht="18">
      <c r="A17" s="338" t="s">
        <v>47</v>
      </c>
      <c r="B17" s="339" t="s">
        <v>48</v>
      </c>
      <c r="C17" s="56">
        <v>18000</v>
      </c>
      <c r="D17" s="38">
        <v>12000</v>
      </c>
      <c r="E17" s="36">
        <f t="shared" si="1"/>
        <v>24000</v>
      </c>
      <c r="F17" s="37">
        <v>36000</v>
      </c>
      <c r="G17" s="37">
        <v>42000</v>
      </c>
    </row>
    <row r="18" spans="1:9" ht="18">
      <c r="A18" s="338" t="s">
        <v>49</v>
      </c>
      <c r="B18" s="339" t="s">
        <v>50</v>
      </c>
      <c r="C18" s="38">
        <v>15000</v>
      </c>
      <c r="D18" s="38">
        <v>0</v>
      </c>
      <c r="E18" s="36">
        <v>30000</v>
      </c>
      <c r="F18" s="37">
        <v>30000</v>
      </c>
      <c r="G18" s="37">
        <v>30000</v>
      </c>
    </row>
    <row r="19" spans="1:9" ht="18">
      <c r="A19" s="338" t="s">
        <v>53</v>
      </c>
      <c r="B19" s="339" t="s">
        <v>54</v>
      </c>
      <c r="C19" s="56">
        <v>40678</v>
      </c>
      <c r="D19" s="38">
        <v>0</v>
      </c>
      <c r="E19" s="36">
        <f t="shared" ref="E19:E21" si="2">F19-D19</f>
        <v>122917</v>
      </c>
      <c r="F19" s="37">
        <v>122917</v>
      </c>
      <c r="G19" s="37">
        <v>134316</v>
      </c>
    </row>
    <row r="20" spans="1:9" ht="18">
      <c r="A20" s="338" t="s">
        <v>55</v>
      </c>
      <c r="B20" s="339" t="s">
        <v>56</v>
      </c>
      <c r="C20" s="56">
        <v>15000</v>
      </c>
      <c r="D20" s="38">
        <v>0</v>
      </c>
      <c r="E20" s="36">
        <f t="shared" si="2"/>
        <v>30000</v>
      </c>
      <c r="F20" s="37">
        <v>30000</v>
      </c>
      <c r="G20" s="37">
        <v>30000</v>
      </c>
    </row>
    <row r="21" spans="1:9" ht="18">
      <c r="A21" s="338" t="s">
        <v>57</v>
      </c>
      <c r="B21" s="339" t="s">
        <v>58</v>
      </c>
      <c r="C21" s="56">
        <v>40678</v>
      </c>
      <c r="D21" s="36">
        <v>27678</v>
      </c>
      <c r="E21" s="36">
        <f t="shared" si="2"/>
        <v>95239</v>
      </c>
      <c r="F21" s="37">
        <v>122917</v>
      </c>
      <c r="G21" s="37">
        <v>128615</v>
      </c>
    </row>
    <row r="22" spans="1:9" ht="18">
      <c r="A22" s="338" t="s">
        <v>557</v>
      </c>
      <c r="B22" s="339" t="s">
        <v>58</v>
      </c>
      <c r="C22" s="56">
        <v>0</v>
      </c>
      <c r="D22" s="36">
        <v>0</v>
      </c>
      <c r="E22" s="85"/>
      <c r="F22" s="37"/>
      <c r="G22" s="37">
        <v>42000</v>
      </c>
    </row>
    <row r="23" spans="1:9" ht="18">
      <c r="A23" s="340" t="s">
        <v>59</v>
      </c>
      <c r="B23" s="339"/>
      <c r="C23" s="56"/>
      <c r="D23" s="36"/>
      <c r="E23" s="85"/>
      <c r="F23" s="37"/>
      <c r="G23" s="37"/>
    </row>
    <row r="24" spans="1:9" ht="18">
      <c r="A24" s="338" t="s">
        <v>60</v>
      </c>
      <c r="B24" s="339" t="s">
        <v>61</v>
      </c>
      <c r="C24" s="56">
        <v>58576.32</v>
      </c>
      <c r="D24" s="36">
        <v>19928.16</v>
      </c>
      <c r="E24" s="36">
        <f t="shared" ref="E24:E27" si="3">F24-D24</f>
        <v>157072.32000000001</v>
      </c>
      <c r="F24" s="37">
        <v>177000.48</v>
      </c>
      <c r="G24" s="37">
        <v>188626.2</v>
      </c>
    </row>
    <row r="25" spans="1:9" ht="18">
      <c r="A25" s="338" t="s">
        <v>62</v>
      </c>
      <c r="B25" s="339" t="s">
        <v>63</v>
      </c>
      <c r="C25" s="56">
        <v>3600</v>
      </c>
      <c r="D25" s="36">
        <v>2200</v>
      </c>
      <c r="E25" s="36">
        <f t="shared" si="3"/>
        <v>5000</v>
      </c>
      <c r="F25" s="37">
        <v>7200</v>
      </c>
      <c r="G25" s="37">
        <v>14400</v>
      </c>
    </row>
    <row r="26" spans="1:9" ht="18">
      <c r="A26" s="338" t="s">
        <v>64</v>
      </c>
      <c r="B26" s="339" t="s">
        <v>65</v>
      </c>
      <c r="C26" s="56">
        <v>9762.7199999999993</v>
      </c>
      <c r="D26" s="36">
        <v>4298.4799999999996</v>
      </c>
      <c r="E26" s="36">
        <f t="shared" si="3"/>
        <v>28889.200000000001</v>
      </c>
      <c r="F26" s="37">
        <v>33187.68</v>
      </c>
      <c r="G26" s="37">
        <v>39297.129999999997</v>
      </c>
    </row>
    <row r="27" spans="1:9" ht="18">
      <c r="A27" s="341" t="s">
        <v>66</v>
      </c>
      <c r="B27" s="342" t="s">
        <v>67</v>
      </c>
      <c r="C27" s="96">
        <v>3600</v>
      </c>
      <c r="D27" s="72">
        <v>1200</v>
      </c>
      <c r="E27" s="72">
        <f t="shared" si="3"/>
        <v>6000</v>
      </c>
      <c r="F27" s="123">
        <v>7200</v>
      </c>
      <c r="G27" s="123">
        <v>7200</v>
      </c>
    </row>
    <row r="28" spans="1:9" ht="18">
      <c r="A28" s="340" t="s">
        <v>68</v>
      </c>
      <c r="B28" s="339"/>
      <c r="C28" s="36"/>
      <c r="D28" s="36"/>
      <c r="E28" s="36"/>
      <c r="F28" s="37"/>
      <c r="G28" s="37"/>
    </row>
    <row r="29" spans="1:9" ht="18.75" thickBot="1">
      <c r="A29" s="338" t="s">
        <v>558</v>
      </c>
      <c r="B29" s="398" t="s">
        <v>520</v>
      </c>
      <c r="C29" s="48">
        <v>0</v>
      </c>
      <c r="D29" s="48">
        <v>0</v>
      </c>
      <c r="E29" s="48"/>
      <c r="F29" s="49"/>
      <c r="G29" s="49">
        <v>63127.82</v>
      </c>
    </row>
    <row r="30" spans="1:9" ht="19.5" thickTop="1" thickBot="1">
      <c r="A30" s="351" t="s">
        <v>71</v>
      </c>
      <c r="B30" s="352"/>
      <c r="C30" s="75">
        <f t="shared" ref="C30:F30" si="4">SUM(C13:C27)</f>
        <v>765031.03999999992</v>
      </c>
      <c r="D30" s="75">
        <f t="shared" si="4"/>
        <v>257372.64</v>
      </c>
      <c r="E30" s="75">
        <f t="shared" si="4"/>
        <v>1928053.52</v>
      </c>
      <c r="F30" s="75">
        <f t="shared" si="4"/>
        <v>2185426.16</v>
      </c>
      <c r="G30" s="75">
        <f>SUM(G13:G29)</f>
        <v>2435467.15</v>
      </c>
    </row>
    <row r="31" spans="1:9" ht="18.75" thickTop="1">
      <c r="A31" s="355" t="s">
        <v>72</v>
      </c>
      <c r="B31" s="356"/>
      <c r="C31" s="216"/>
      <c r="D31" s="216"/>
      <c r="E31" s="216"/>
      <c r="F31" s="280"/>
      <c r="G31" s="556"/>
    </row>
    <row r="32" spans="1:9" ht="18">
      <c r="A32" s="359" t="s">
        <v>73</v>
      </c>
      <c r="B32" s="356" t="s">
        <v>74</v>
      </c>
      <c r="C32" s="38">
        <v>38565.96</v>
      </c>
      <c r="D32" s="38">
        <v>5000</v>
      </c>
      <c r="E32" s="36">
        <f t="shared" ref="E32:E40" si="5">F32-D32</f>
        <v>45000</v>
      </c>
      <c r="F32" s="557">
        <v>50000</v>
      </c>
      <c r="G32" s="557">
        <v>50000</v>
      </c>
      <c r="I32" s="558"/>
    </row>
    <row r="33" spans="1:7" ht="18">
      <c r="A33" s="359" t="s">
        <v>75</v>
      </c>
      <c r="B33" s="356" t="s">
        <v>76</v>
      </c>
      <c r="C33" s="38">
        <v>21565.96</v>
      </c>
      <c r="D33" s="38">
        <v>40591.599999999999</v>
      </c>
      <c r="E33" s="36">
        <f t="shared" si="5"/>
        <v>9408.4000000000015</v>
      </c>
      <c r="F33" s="557">
        <v>50000</v>
      </c>
      <c r="G33" s="557">
        <v>50000</v>
      </c>
    </row>
    <row r="34" spans="1:7" ht="18">
      <c r="A34" s="359" t="s">
        <v>77</v>
      </c>
      <c r="B34" s="360" t="s">
        <v>78</v>
      </c>
      <c r="C34" s="38">
        <v>24484</v>
      </c>
      <c r="D34" s="38">
        <v>21486.98</v>
      </c>
      <c r="E34" s="36">
        <f t="shared" si="5"/>
        <v>28513.02</v>
      </c>
      <c r="F34" s="557">
        <v>50000</v>
      </c>
      <c r="G34" s="557">
        <v>60000</v>
      </c>
    </row>
    <row r="35" spans="1:7" ht="18">
      <c r="A35" s="338" t="s">
        <v>81</v>
      </c>
      <c r="B35" s="339" t="s">
        <v>82</v>
      </c>
      <c r="C35" s="38">
        <v>34890</v>
      </c>
      <c r="D35" s="38">
        <v>35061.199999999997</v>
      </c>
      <c r="E35" s="36">
        <f t="shared" si="5"/>
        <v>34938.800000000003</v>
      </c>
      <c r="F35" s="557">
        <v>70000</v>
      </c>
      <c r="G35" s="557">
        <v>80000</v>
      </c>
    </row>
    <row r="36" spans="1:7" ht="18">
      <c r="A36" s="359" t="s">
        <v>83</v>
      </c>
      <c r="B36" s="360" t="s">
        <v>84</v>
      </c>
      <c r="C36" s="38">
        <v>35000</v>
      </c>
      <c r="D36" s="36">
        <v>2500</v>
      </c>
      <c r="E36" s="36">
        <f t="shared" si="5"/>
        <v>27500</v>
      </c>
      <c r="F36" s="557">
        <v>30000</v>
      </c>
      <c r="G36" s="557">
        <v>70000</v>
      </c>
    </row>
    <row r="37" spans="1:7" ht="18">
      <c r="A37" s="338" t="s">
        <v>199</v>
      </c>
      <c r="B37" s="398" t="s">
        <v>200</v>
      </c>
      <c r="C37" s="38">
        <v>191235</v>
      </c>
      <c r="D37" s="36">
        <v>179950</v>
      </c>
      <c r="E37" s="36">
        <f t="shared" si="5"/>
        <v>320050</v>
      </c>
      <c r="F37" s="557">
        <v>500000</v>
      </c>
      <c r="G37" s="557">
        <v>550000</v>
      </c>
    </row>
    <row r="38" spans="1:7" ht="18">
      <c r="A38" s="364" t="s">
        <v>255</v>
      </c>
      <c r="B38" s="356" t="s">
        <v>256</v>
      </c>
      <c r="C38" s="38">
        <v>0</v>
      </c>
      <c r="D38" s="36">
        <v>0</v>
      </c>
      <c r="E38" s="36">
        <f t="shared" si="5"/>
        <v>60000</v>
      </c>
      <c r="F38" s="557">
        <v>60000</v>
      </c>
      <c r="G38" s="557">
        <v>60000</v>
      </c>
    </row>
    <row r="39" spans="1:7" ht="18">
      <c r="A39" s="359" t="s">
        <v>100</v>
      </c>
      <c r="B39" s="356" t="s">
        <v>101</v>
      </c>
      <c r="C39" s="38">
        <v>114530</v>
      </c>
      <c r="D39" s="36">
        <v>20000</v>
      </c>
      <c r="E39" s="36">
        <f t="shared" si="5"/>
        <v>80000</v>
      </c>
      <c r="F39" s="557">
        <v>100000</v>
      </c>
      <c r="G39" s="557">
        <v>60000</v>
      </c>
    </row>
    <row r="40" spans="1:7" ht="36">
      <c r="A40" s="538" t="s">
        <v>104</v>
      </c>
      <c r="B40" s="356" t="s">
        <v>105</v>
      </c>
      <c r="C40" s="38">
        <v>0</v>
      </c>
      <c r="D40" s="38">
        <v>10000</v>
      </c>
      <c r="E40" s="36">
        <f t="shared" si="5"/>
        <v>0</v>
      </c>
      <c r="F40" s="37">
        <v>10000</v>
      </c>
      <c r="G40" s="37">
        <v>10000</v>
      </c>
    </row>
    <row r="41" spans="1:7" ht="18">
      <c r="A41" s="359" t="s">
        <v>108</v>
      </c>
      <c r="B41" s="356" t="s">
        <v>109</v>
      </c>
      <c r="C41" s="36"/>
      <c r="D41" s="36"/>
      <c r="E41" s="36"/>
      <c r="F41" s="37"/>
      <c r="G41" s="37"/>
    </row>
    <row r="42" spans="1:7" ht="36">
      <c r="A42" s="539" t="s">
        <v>257</v>
      </c>
      <c r="B42" s="360"/>
      <c r="C42" s="36">
        <v>89797</v>
      </c>
      <c r="D42" s="559">
        <v>0</v>
      </c>
      <c r="E42" s="36">
        <f t="shared" ref="E42:E47" si="6">F42-D42</f>
        <v>200000</v>
      </c>
      <c r="F42" s="37">
        <v>200000</v>
      </c>
      <c r="G42" s="37">
        <v>50000</v>
      </c>
    </row>
    <row r="43" spans="1:7" ht="18">
      <c r="A43" s="541" t="s">
        <v>258</v>
      </c>
      <c r="B43" s="360"/>
      <c r="C43" s="38"/>
      <c r="D43" s="36"/>
      <c r="E43" s="36">
        <f t="shared" si="6"/>
        <v>300000</v>
      </c>
      <c r="F43" s="37">
        <v>300000</v>
      </c>
      <c r="G43" s="37">
        <v>1283600</v>
      </c>
    </row>
    <row r="44" spans="1:7" ht="72">
      <c r="A44" s="539" t="s">
        <v>259</v>
      </c>
      <c r="B44" s="360"/>
      <c r="C44" s="36">
        <v>825751.43</v>
      </c>
      <c r="D44" s="38">
        <v>175000</v>
      </c>
      <c r="E44" s="36">
        <f t="shared" si="6"/>
        <v>1325000</v>
      </c>
      <c r="F44" s="37">
        <v>1500000</v>
      </c>
      <c r="G44" s="162">
        <v>1450000</v>
      </c>
    </row>
    <row r="45" spans="1:7" ht="36">
      <c r="A45" s="539" t="s">
        <v>260</v>
      </c>
      <c r="B45" s="360"/>
      <c r="C45" s="38">
        <v>3209271.33</v>
      </c>
      <c r="D45" s="36">
        <v>618593.66</v>
      </c>
      <c r="E45" s="38">
        <f t="shared" si="6"/>
        <v>101656.33999999997</v>
      </c>
      <c r="F45" s="37">
        <v>720250</v>
      </c>
      <c r="G45" s="162">
        <v>800000</v>
      </c>
    </row>
    <row r="46" spans="1:7" ht="18">
      <c r="A46" s="541" t="s">
        <v>261</v>
      </c>
      <c r="B46" s="360"/>
      <c r="C46" s="36"/>
      <c r="D46" s="38">
        <v>1394707.3</v>
      </c>
      <c r="E46" s="38">
        <f t="shared" si="6"/>
        <v>1605292.7</v>
      </c>
      <c r="F46" s="37">
        <v>3000000</v>
      </c>
      <c r="G46" s="162">
        <v>0</v>
      </c>
    </row>
    <row r="47" spans="1:7" ht="36">
      <c r="A47" s="539" t="s">
        <v>262</v>
      </c>
      <c r="B47" s="360"/>
      <c r="C47" s="36"/>
      <c r="D47" s="560">
        <v>0</v>
      </c>
      <c r="E47" s="38">
        <f t="shared" si="6"/>
        <v>150000</v>
      </c>
      <c r="F47" s="37">
        <v>150000</v>
      </c>
      <c r="G47" s="561">
        <v>0</v>
      </c>
    </row>
    <row r="48" spans="1:7" ht="18">
      <c r="A48" s="541" t="s">
        <v>263</v>
      </c>
      <c r="B48" s="562"/>
      <c r="C48" s="559">
        <v>0</v>
      </c>
      <c r="D48" s="559">
        <v>0</v>
      </c>
      <c r="E48" s="559">
        <v>0</v>
      </c>
      <c r="F48" s="92">
        <v>500000</v>
      </c>
      <c r="G48" s="561">
        <v>50000</v>
      </c>
    </row>
    <row r="49" spans="1:11" ht="36.75" thickBot="1">
      <c r="A49" s="539" t="s">
        <v>674</v>
      </c>
      <c r="B49" s="356"/>
      <c r="C49" s="229">
        <v>450466.46</v>
      </c>
      <c r="D49" s="229"/>
      <c r="E49" s="47">
        <f t="shared" ref="E49" si="7">F49-D49</f>
        <v>50000</v>
      </c>
      <c r="F49" s="37">
        <v>50000</v>
      </c>
      <c r="G49" s="561">
        <v>147562</v>
      </c>
    </row>
    <row r="50" spans="1:11" ht="19.5" thickTop="1" thickBot="1">
      <c r="A50" s="563" t="s">
        <v>162</v>
      </c>
      <c r="B50" s="564"/>
      <c r="C50" s="565">
        <f>SUM(C32:C49)</f>
        <v>5035557.1399999997</v>
      </c>
      <c r="D50" s="565">
        <f>SUM(D32:D49)</f>
        <v>2502890.7400000002</v>
      </c>
      <c r="E50" s="565">
        <f>SUM(E32:E49)</f>
        <v>4337359.26</v>
      </c>
      <c r="F50" s="565">
        <f>SUM(F32:F49)</f>
        <v>7340250</v>
      </c>
      <c r="G50" s="75">
        <f>SUM(G32:G49)</f>
        <v>4771162</v>
      </c>
      <c r="I50" s="558"/>
      <c r="J50" s="558"/>
      <c r="K50" s="558"/>
    </row>
    <row r="51" spans="1:11" ht="19.5" thickTop="1" thickBot="1">
      <c r="A51" s="351" t="s">
        <v>181</v>
      </c>
      <c r="B51" s="367"/>
      <c r="C51" s="75">
        <f>C50+C30</f>
        <v>5800588.1799999997</v>
      </c>
      <c r="D51" s="75">
        <f>D50+D30</f>
        <v>2760263.3800000004</v>
      </c>
      <c r="E51" s="75">
        <f>E50+E30</f>
        <v>6265412.7799999993</v>
      </c>
      <c r="F51" s="75">
        <f>F50+F30</f>
        <v>9525676.1600000001</v>
      </c>
      <c r="G51" s="75">
        <f>G50+G30</f>
        <v>7206629.1500000004</v>
      </c>
    </row>
    <row r="52" spans="1:11" ht="18.75" thickTop="1">
      <c r="A52" s="317"/>
      <c r="B52" s="317"/>
      <c r="C52" s="317"/>
      <c r="D52" s="317"/>
      <c r="E52" s="317"/>
      <c r="F52" s="317"/>
      <c r="G52" s="317"/>
      <c r="K52" s="558"/>
    </row>
    <row r="53" spans="1:11" ht="18">
      <c r="A53" s="317"/>
      <c r="B53" s="317"/>
      <c r="C53" s="317"/>
      <c r="D53" s="317"/>
      <c r="E53" s="317"/>
      <c r="F53" s="317"/>
      <c r="G53" s="317"/>
    </row>
    <row r="54" spans="1:11" ht="18">
      <c r="A54" s="317"/>
      <c r="B54" s="317"/>
      <c r="C54" s="317"/>
      <c r="D54" s="317"/>
      <c r="E54" s="317"/>
      <c r="F54" s="317"/>
      <c r="G54" s="317"/>
    </row>
    <row r="55" spans="1:11" ht="18">
      <c r="A55" s="317" t="s">
        <v>183</v>
      </c>
      <c r="B55" s="317" t="s">
        <v>184</v>
      </c>
      <c r="C55" s="317"/>
      <c r="D55" s="317"/>
      <c r="E55" s="317"/>
      <c r="F55" s="317" t="s">
        <v>185</v>
      </c>
      <c r="G55" s="317"/>
    </row>
    <row r="56" spans="1:11" ht="18">
      <c r="A56" s="317"/>
      <c r="B56" s="317"/>
      <c r="C56" s="317"/>
      <c r="D56" s="317"/>
      <c r="E56" s="317"/>
      <c r="F56" s="317"/>
      <c r="G56" s="317"/>
    </row>
    <row r="57" spans="1:11" ht="18">
      <c r="A57" s="317"/>
      <c r="B57" s="317"/>
      <c r="C57" s="317"/>
      <c r="D57" s="317"/>
      <c r="E57" s="317"/>
      <c r="F57" s="317"/>
      <c r="G57" s="317"/>
    </row>
    <row r="58" spans="1:11" ht="18">
      <c r="A58" s="317"/>
      <c r="B58" s="317"/>
      <c r="C58" s="317"/>
      <c r="D58" s="317"/>
      <c r="E58" s="317"/>
      <c r="F58" s="317"/>
      <c r="G58" s="317"/>
    </row>
    <row r="59" spans="1:11" ht="18">
      <c r="A59" s="317"/>
      <c r="B59" s="317"/>
      <c r="C59" s="317"/>
      <c r="D59" s="317"/>
      <c r="E59" s="317"/>
      <c r="F59" s="317"/>
      <c r="G59" s="317"/>
    </row>
    <row r="60" spans="1:11" ht="18">
      <c r="A60" s="317"/>
      <c r="B60" s="317"/>
      <c r="C60" s="317"/>
      <c r="D60" s="317"/>
      <c r="E60" s="317"/>
      <c r="F60" s="317"/>
      <c r="G60" s="317"/>
    </row>
    <row r="61" spans="1:11" ht="18">
      <c r="A61" s="317"/>
      <c r="B61" s="317"/>
      <c r="C61" s="317"/>
      <c r="D61" s="317"/>
      <c r="E61" s="317"/>
      <c r="F61" s="317"/>
      <c r="G61" s="317"/>
    </row>
    <row r="62" spans="1:11" ht="17.45" customHeight="1">
      <c r="A62" s="370" t="s">
        <v>264</v>
      </c>
      <c r="B62" s="1239" t="s">
        <v>187</v>
      </c>
      <c r="C62" s="1239"/>
      <c r="D62" s="1239"/>
      <c r="E62" s="372"/>
      <c r="F62" s="1240" t="s">
        <v>188</v>
      </c>
      <c r="G62" s="1240"/>
    </row>
    <row r="63" spans="1:11" ht="17.45" customHeight="1">
      <c r="A63" s="373" t="s">
        <v>265</v>
      </c>
      <c r="B63" s="1235" t="s">
        <v>190</v>
      </c>
      <c r="C63" s="1235"/>
      <c r="D63" s="1235"/>
      <c r="E63" s="372"/>
      <c r="F63" s="1237" t="s">
        <v>191</v>
      </c>
      <c r="G63" s="1237"/>
    </row>
    <row r="64" spans="1:11" ht="18">
      <c r="A64" s="317"/>
      <c r="B64" s="317"/>
      <c r="C64" s="317"/>
      <c r="D64" s="317"/>
      <c r="E64" s="317"/>
      <c r="F64" s="317"/>
      <c r="G64" s="317"/>
    </row>
    <row r="66" spans="1:7" ht="16.5">
      <c r="A66" s="1238" t="s">
        <v>194</v>
      </c>
      <c r="B66" s="1238"/>
      <c r="C66" s="1238"/>
      <c r="D66" s="1238"/>
      <c r="E66" s="1238"/>
      <c r="F66" s="1238"/>
      <c r="G66" s="1238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17"/>
      <c r="B68" s="317"/>
      <c r="C68" s="317"/>
      <c r="D68" s="317"/>
      <c r="E68" s="317"/>
      <c r="F68" s="317"/>
      <c r="G68" s="317"/>
    </row>
    <row r="69" spans="1:7" ht="18">
      <c r="A69" s="317"/>
      <c r="B69" s="317"/>
      <c r="C69" s="317"/>
      <c r="D69" s="317"/>
      <c r="E69" s="317"/>
      <c r="F69" s="317"/>
      <c r="G69" s="317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8">
      <c r="A72" s="317"/>
      <c r="B72" s="317"/>
      <c r="C72" s="317"/>
      <c r="D72" s="317"/>
      <c r="E72" s="317"/>
      <c r="F72" s="317"/>
      <c r="G72" s="317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 ht="18">
      <c r="A249" s="317"/>
      <c r="B249" s="317"/>
      <c r="C249" s="317"/>
      <c r="D249" s="317"/>
      <c r="E249" s="317"/>
      <c r="F249" s="317"/>
      <c r="G249" s="317"/>
    </row>
    <row r="250" spans="1:7" ht="18">
      <c r="A250" s="317"/>
      <c r="B250" s="317"/>
      <c r="C250" s="317"/>
      <c r="D250" s="317"/>
      <c r="E250" s="317"/>
      <c r="F250" s="317"/>
      <c r="G250" s="317"/>
    </row>
    <row r="251" spans="1:7" ht="18">
      <c r="A251" s="317"/>
      <c r="B251" s="317"/>
      <c r="C251" s="317"/>
      <c r="D251" s="317"/>
      <c r="E251" s="317"/>
      <c r="F251" s="317"/>
      <c r="G251" s="317"/>
    </row>
    <row r="252" spans="1:7" ht="18">
      <c r="A252" s="317"/>
      <c r="B252" s="317"/>
      <c r="C252" s="317"/>
      <c r="D252" s="317"/>
      <c r="E252" s="317"/>
      <c r="F252" s="317"/>
      <c r="G252" s="317"/>
    </row>
    <row r="253" spans="1:7" ht="18">
      <c r="A253" s="317"/>
      <c r="B253" s="317"/>
      <c r="C253" s="317"/>
      <c r="D253" s="317"/>
      <c r="E253" s="317"/>
      <c r="F253" s="317"/>
      <c r="G253" s="317"/>
    </row>
    <row r="254" spans="1:7" ht="18">
      <c r="A254" s="317"/>
      <c r="B254" s="317"/>
      <c r="C254" s="317"/>
      <c r="D254" s="317"/>
      <c r="E254" s="317"/>
      <c r="F254" s="317"/>
      <c r="G254" s="317"/>
    </row>
    <row r="255" spans="1:7" ht="18">
      <c r="A255" s="317"/>
      <c r="B255" s="317"/>
      <c r="C255" s="317"/>
      <c r="D255" s="317"/>
      <c r="E255" s="317"/>
      <c r="F255" s="317"/>
      <c r="G255" s="317"/>
    </row>
    <row r="256" spans="1:7" ht="18">
      <c r="A256" s="317"/>
      <c r="B256" s="317"/>
      <c r="C256" s="317"/>
      <c r="D256" s="317"/>
      <c r="E256" s="317"/>
      <c r="F256" s="317"/>
      <c r="G256" s="317"/>
    </row>
    <row r="257" spans="1:7" ht="18">
      <c r="A257" s="317"/>
      <c r="B257" s="317"/>
      <c r="C257" s="317"/>
      <c r="D257" s="317"/>
      <c r="E257" s="317"/>
      <c r="F257" s="317"/>
      <c r="G257" s="317"/>
    </row>
    <row r="258" spans="1:7" ht="18">
      <c r="A258" s="317"/>
      <c r="B258" s="317"/>
      <c r="C258" s="317"/>
      <c r="D258" s="317"/>
      <c r="E258" s="317"/>
      <c r="F258" s="317"/>
      <c r="G258" s="317"/>
    </row>
    <row r="259" spans="1:7" ht="18">
      <c r="A259" s="317"/>
      <c r="B259" s="317"/>
      <c r="C259" s="317"/>
      <c r="D259" s="317"/>
      <c r="E259" s="317"/>
      <c r="F259" s="317"/>
      <c r="G259" s="317"/>
    </row>
    <row r="260" spans="1:7" ht="18">
      <c r="A260" s="317"/>
      <c r="B260" s="317"/>
      <c r="C260" s="317"/>
      <c r="D260" s="317"/>
      <c r="E260" s="317"/>
      <c r="F260" s="317"/>
      <c r="G260" s="317"/>
    </row>
    <row r="261" spans="1:7" ht="18">
      <c r="A261" s="317"/>
      <c r="B261" s="317"/>
      <c r="C261" s="317"/>
      <c r="D261" s="317"/>
      <c r="E261" s="317"/>
      <c r="F261" s="317"/>
      <c r="G261" s="317"/>
    </row>
    <row r="262" spans="1:7" ht="18">
      <c r="A262" s="317"/>
      <c r="B262" s="317"/>
      <c r="C262" s="317"/>
      <c r="D262" s="317"/>
      <c r="E262" s="317"/>
      <c r="F262" s="317"/>
      <c r="G262" s="317"/>
    </row>
    <row r="263" spans="1:7" ht="18">
      <c r="A263" s="317"/>
      <c r="B263" s="317"/>
      <c r="C263" s="317"/>
      <c r="D263" s="317"/>
      <c r="E263" s="317"/>
      <c r="F263" s="317"/>
      <c r="G263" s="317"/>
    </row>
    <row r="264" spans="1:7" ht="18">
      <c r="A264" s="317"/>
      <c r="B264" s="317"/>
      <c r="C264" s="317"/>
      <c r="D264" s="317"/>
      <c r="E264" s="317"/>
      <c r="F264" s="317"/>
      <c r="G264" s="317"/>
    </row>
    <row r="265" spans="1:7" ht="18">
      <c r="A265" s="317"/>
      <c r="B265" s="317"/>
      <c r="C265" s="317"/>
      <c r="D265" s="317"/>
      <c r="E265" s="317"/>
      <c r="F265" s="317"/>
      <c r="G265" s="317"/>
    </row>
    <row r="266" spans="1:7" ht="18">
      <c r="A266" s="317"/>
      <c r="B266" s="317"/>
      <c r="C266" s="317"/>
      <c r="D266" s="317"/>
      <c r="E266" s="317"/>
      <c r="F266" s="317"/>
      <c r="G266" s="317"/>
    </row>
    <row r="267" spans="1:7" ht="18">
      <c r="A267" s="317"/>
      <c r="B267" s="317"/>
      <c r="C267" s="317"/>
      <c r="D267" s="317"/>
      <c r="E267" s="317"/>
      <c r="F267" s="317"/>
      <c r="G267" s="317"/>
    </row>
    <row r="268" spans="1:7" ht="18">
      <c r="A268" s="317"/>
      <c r="B268" s="317"/>
      <c r="C268" s="317"/>
      <c r="D268" s="317"/>
      <c r="E268" s="317"/>
      <c r="F268" s="317"/>
      <c r="G268" s="317"/>
    </row>
    <row r="269" spans="1:7" ht="18">
      <c r="A269" s="317"/>
      <c r="B269" s="317"/>
      <c r="C269" s="317"/>
      <c r="D269" s="317"/>
      <c r="E269" s="317"/>
      <c r="F269" s="317"/>
      <c r="G269" s="317"/>
    </row>
    <row r="270" spans="1:7" ht="18">
      <c r="A270" s="317"/>
      <c r="B270" s="317"/>
      <c r="C270" s="317"/>
      <c r="D270" s="317"/>
      <c r="E270" s="317"/>
      <c r="F270" s="317"/>
      <c r="G270" s="317"/>
    </row>
    <row r="271" spans="1:7" ht="18">
      <c r="A271" s="317"/>
      <c r="B271" s="317"/>
      <c r="C271" s="317"/>
      <c r="D271" s="317"/>
      <c r="E271" s="317"/>
      <c r="F271" s="317"/>
      <c r="G271" s="317"/>
    </row>
    <row r="272" spans="1:7" ht="18">
      <c r="A272" s="317"/>
      <c r="B272" s="317"/>
      <c r="C272" s="317"/>
      <c r="D272" s="317"/>
      <c r="E272" s="317"/>
      <c r="F272" s="317"/>
      <c r="G272" s="317"/>
    </row>
    <row r="273" spans="1:7" ht="18">
      <c r="A273" s="317"/>
      <c r="B273" s="317"/>
      <c r="C273" s="317"/>
      <c r="D273" s="317"/>
      <c r="E273" s="317"/>
      <c r="F273" s="317"/>
      <c r="G273" s="317"/>
    </row>
    <row r="274" spans="1:7" ht="18">
      <c r="A274" s="317"/>
      <c r="B274" s="317"/>
      <c r="C274" s="317"/>
      <c r="D274" s="317"/>
      <c r="E274" s="317"/>
      <c r="F274" s="317"/>
      <c r="G274" s="317"/>
    </row>
    <row r="275" spans="1:7" ht="18">
      <c r="A275" s="317"/>
      <c r="B275" s="317"/>
      <c r="C275" s="317"/>
      <c r="D275" s="317"/>
      <c r="E275" s="317"/>
      <c r="F275" s="317"/>
      <c r="G275" s="317"/>
    </row>
    <row r="276" spans="1:7" ht="18">
      <c r="A276" s="317"/>
      <c r="B276" s="317"/>
      <c r="C276" s="317"/>
      <c r="D276" s="317"/>
      <c r="E276" s="317"/>
      <c r="F276" s="317"/>
      <c r="G276" s="317"/>
    </row>
    <row r="277" spans="1:7" ht="18">
      <c r="A277" s="317"/>
      <c r="B277" s="317"/>
      <c r="C277" s="317"/>
      <c r="D277" s="317"/>
      <c r="E277" s="317"/>
      <c r="F277" s="317"/>
      <c r="G277" s="317"/>
    </row>
    <row r="278" spans="1:7" ht="18">
      <c r="A278" s="317"/>
      <c r="B278" s="317"/>
      <c r="C278" s="317"/>
      <c r="D278" s="317"/>
      <c r="E278" s="317"/>
      <c r="F278" s="317"/>
      <c r="G278" s="317"/>
    </row>
    <row r="279" spans="1:7" ht="18">
      <c r="A279" s="317"/>
      <c r="B279" s="317"/>
      <c r="C279" s="317"/>
      <c r="D279" s="317"/>
      <c r="E279" s="317"/>
      <c r="F279" s="317"/>
      <c r="G279" s="317"/>
    </row>
    <row r="280" spans="1:7" ht="18">
      <c r="A280" s="317"/>
      <c r="B280" s="317"/>
      <c r="C280" s="317"/>
      <c r="D280" s="317"/>
      <c r="E280" s="317"/>
      <c r="F280" s="317"/>
      <c r="G280" s="317"/>
    </row>
    <row r="281" spans="1:7" ht="18">
      <c r="A281" s="317"/>
      <c r="B281" s="317"/>
      <c r="C281" s="317"/>
      <c r="D281" s="317"/>
      <c r="E281" s="317"/>
      <c r="F281" s="317"/>
      <c r="G281" s="317"/>
    </row>
    <row r="282" spans="1:7" ht="18">
      <c r="A282" s="317"/>
      <c r="B282" s="317"/>
      <c r="C282" s="317"/>
      <c r="D282" s="317"/>
      <c r="E282" s="317"/>
      <c r="F282" s="317"/>
      <c r="G282" s="317"/>
    </row>
    <row r="283" spans="1:7" ht="18">
      <c r="A283" s="317"/>
      <c r="B283" s="317"/>
      <c r="C283" s="317"/>
      <c r="D283" s="317"/>
      <c r="E283" s="317"/>
      <c r="F283" s="317"/>
      <c r="G283" s="317"/>
    </row>
    <row r="284" spans="1:7" ht="18">
      <c r="A284" s="317"/>
      <c r="B284" s="317"/>
      <c r="C284" s="317"/>
      <c r="D284" s="317"/>
      <c r="E284" s="317"/>
      <c r="F284" s="317"/>
      <c r="G284" s="317"/>
    </row>
    <row r="285" spans="1:7" ht="18">
      <c r="A285" s="317"/>
      <c r="B285" s="317"/>
      <c r="C285" s="317"/>
      <c r="D285" s="317"/>
      <c r="E285" s="317"/>
      <c r="F285" s="317"/>
      <c r="G285" s="317"/>
    </row>
    <row r="286" spans="1:7" ht="18">
      <c r="A286" s="317"/>
      <c r="B286" s="317"/>
      <c r="C286" s="317"/>
      <c r="D286" s="317"/>
      <c r="E286" s="317"/>
      <c r="F286" s="317"/>
      <c r="G286" s="317"/>
    </row>
    <row r="287" spans="1:7" ht="18">
      <c r="A287" s="317"/>
      <c r="B287" s="317"/>
      <c r="C287" s="317"/>
      <c r="D287" s="317"/>
      <c r="E287" s="317"/>
      <c r="F287" s="317"/>
      <c r="G287" s="317"/>
    </row>
    <row r="288" spans="1:7" ht="18">
      <c r="A288" s="317"/>
      <c r="B288" s="317"/>
      <c r="C288" s="317"/>
      <c r="D288" s="317"/>
      <c r="E288" s="317"/>
      <c r="F288" s="317"/>
      <c r="G288" s="317"/>
    </row>
    <row r="289" spans="1:7" ht="18">
      <c r="A289" s="317"/>
      <c r="B289" s="317"/>
      <c r="C289" s="317"/>
      <c r="D289" s="317"/>
      <c r="E289" s="317"/>
      <c r="F289" s="317"/>
      <c r="G289" s="317"/>
    </row>
    <row r="290" spans="1:7" ht="18">
      <c r="A290" s="317"/>
      <c r="B290" s="317"/>
      <c r="C290" s="317"/>
      <c r="D290" s="317"/>
      <c r="E290" s="317"/>
      <c r="F290" s="317"/>
      <c r="G290" s="317"/>
    </row>
    <row r="291" spans="1:7" ht="18">
      <c r="A291" s="317"/>
      <c r="B291" s="317"/>
      <c r="C291" s="317"/>
      <c r="D291" s="317"/>
      <c r="E291" s="317"/>
      <c r="F291" s="317"/>
      <c r="G291" s="317"/>
    </row>
    <row r="292" spans="1:7" ht="18">
      <c r="A292" s="317"/>
      <c r="B292" s="317"/>
      <c r="C292" s="317"/>
      <c r="D292" s="317"/>
      <c r="E292" s="317"/>
      <c r="F292" s="317"/>
      <c r="G292" s="317"/>
    </row>
    <row r="293" spans="1:7" ht="18">
      <c r="A293" s="317"/>
      <c r="B293" s="317"/>
      <c r="C293" s="317"/>
      <c r="D293" s="317"/>
      <c r="E293" s="317"/>
      <c r="F293" s="317"/>
      <c r="G293" s="317"/>
    </row>
    <row r="294" spans="1:7" ht="18">
      <c r="A294" s="317"/>
      <c r="B294" s="317"/>
      <c r="C294" s="317"/>
      <c r="D294" s="317"/>
      <c r="E294" s="317"/>
      <c r="F294" s="317"/>
      <c r="G294" s="317"/>
    </row>
    <row r="295" spans="1:7" ht="18">
      <c r="A295" s="317"/>
      <c r="B295" s="317"/>
      <c r="C295" s="317"/>
      <c r="D295" s="317"/>
      <c r="E295" s="317"/>
      <c r="F295" s="317"/>
      <c r="G295" s="317"/>
    </row>
    <row r="296" spans="1:7" ht="18">
      <c r="A296" s="317"/>
      <c r="B296" s="317"/>
      <c r="C296" s="317"/>
      <c r="D296" s="317"/>
      <c r="E296" s="317"/>
      <c r="F296" s="317"/>
      <c r="G296" s="317"/>
    </row>
    <row r="297" spans="1:7" ht="18">
      <c r="A297" s="317"/>
      <c r="B297" s="317"/>
      <c r="C297" s="317"/>
      <c r="D297" s="317"/>
      <c r="E297" s="317"/>
      <c r="F297" s="317"/>
      <c r="G297" s="317"/>
    </row>
    <row r="298" spans="1:7" ht="18">
      <c r="A298" s="317"/>
      <c r="B298" s="317"/>
      <c r="C298" s="317"/>
      <c r="D298" s="317"/>
      <c r="E298" s="317"/>
      <c r="F298" s="317"/>
      <c r="G298" s="317"/>
    </row>
    <row r="299" spans="1:7" ht="18">
      <c r="A299" s="317"/>
      <c r="B299" s="317"/>
      <c r="C299" s="317"/>
      <c r="D299" s="317"/>
      <c r="E299" s="317"/>
      <c r="F299" s="317"/>
      <c r="G299" s="317"/>
    </row>
    <row r="300" spans="1:7" ht="18">
      <c r="A300" s="317"/>
      <c r="B300" s="317"/>
      <c r="C300" s="317"/>
      <c r="D300" s="317"/>
      <c r="E300" s="317"/>
      <c r="F300" s="317"/>
      <c r="G300" s="317"/>
    </row>
    <row r="301" spans="1:7" ht="18">
      <c r="A301" s="317"/>
      <c r="B301" s="317"/>
      <c r="C301" s="317"/>
      <c r="D301" s="317"/>
      <c r="E301" s="317"/>
      <c r="F301" s="317"/>
      <c r="G301" s="317"/>
    </row>
    <row r="302" spans="1:7" ht="18">
      <c r="A302" s="317"/>
      <c r="B302" s="317"/>
      <c r="C302" s="317"/>
      <c r="D302" s="317"/>
      <c r="E302" s="317"/>
      <c r="F302" s="317"/>
      <c r="G302" s="317"/>
    </row>
    <row r="303" spans="1:7" ht="18">
      <c r="A303" s="317"/>
      <c r="B303" s="317"/>
      <c r="C303" s="317"/>
      <c r="D303" s="317"/>
      <c r="E303" s="317"/>
      <c r="F303" s="317"/>
      <c r="G303" s="317"/>
    </row>
    <row r="304" spans="1:7" ht="18">
      <c r="A304" s="317"/>
      <c r="B304" s="317"/>
      <c r="C304" s="317"/>
      <c r="D304" s="317"/>
      <c r="E304" s="317"/>
      <c r="F304" s="317"/>
      <c r="G304" s="317"/>
    </row>
    <row r="305" spans="1:7" ht="18">
      <c r="A305" s="317"/>
      <c r="B305" s="317"/>
      <c r="C305" s="317"/>
      <c r="D305" s="317"/>
      <c r="E305" s="317"/>
      <c r="F305" s="317"/>
      <c r="G305" s="317"/>
    </row>
    <row r="306" spans="1:7" ht="18">
      <c r="A306" s="317"/>
      <c r="B306" s="317"/>
      <c r="C306" s="317"/>
      <c r="D306" s="317"/>
      <c r="E306" s="317"/>
      <c r="F306" s="317"/>
      <c r="G306" s="317"/>
    </row>
    <row r="307" spans="1:7" ht="18">
      <c r="A307" s="317"/>
      <c r="B307" s="317"/>
      <c r="C307" s="317"/>
      <c r="D307" s="317"/>
      <c r="E307" s="317"/>
      <c r="F307" s="317"/>
      <c r="G307" s="317"/>
    </row>
    <row r="308" spans="1:7" ht="18">
      <c r="A308" s="317"/>
      <c r="B308" s="317"/>
      <c r="C308" s="317"/>
      <c r="D308" s="317"/>
      <c r="E308" s="317"/>
      <c r="F308" s="317"/>
      <c r="G308" s="317"/>
    </row>
    <row r="309" spans="1:7" ht="18">
      <c r="A309" s="317"/>
      <c r="B309" s="317"/>
      <c r="C309" s="317"/>
      <c r="D309" s="317"/>
      <c r="E309" s="317"/>
      <c r="F309" s="317"/>
      <c r="G309" s="317"/>
    </row>
    <row r="310" spans="1:7" ht="18">
      <c r="A310" s="317"/>
      <c r="B310" s="317"/>
      <c r="C310" s="317"/>
      <c r="D310" s="317"/>
      <c r="E310" s="317"/>
      <c r="F310" s="317"/>
      <c r="G310" s="317"/>
    </row>
    <row r="311" spans="1:7" ht="18">
      <c r="A311" s="317"/>
      <c r="B311" s="317"/>
      <c r="C311" s="317"/>
      <c r="D311" s="317"/>
      <c r="E311" s="317"/>
      <c r="F311" s="317"/>
      <c r="G311" s="317"/>
    </row>
    <row r="312" spans="1:7" ht="18">
      <c r="A312" s="317"/>
      <c r="B312" s="317"/>
      <c r="C312" s="317"/>
      <c r="D312" s="317"/>
      <c r="E312" s="317"/>
      <c r="F312" s="317"/>
      <c r="G312" s="317"/>
    </row>
    <row r="313" spans="1:7" ht="18">
      <c r="A313" s="317"/>
      <c r="B313" s="317"/>
      <c r="C313" s="317"/>
      <c r="D313" s="317"/>
      <c r="E313" s="317"/>
      <c r="F313" s="317"/>
      <c r="G313" s="317"/>
    </row>
    <row r="314" spans="1:7" ht="18">
      <c r="A314" s="317"/>
      <c r="B314" s="317"/>
      <c r="C314" s="317"/>
      <c r="D314" s="317"/>
      <c r="E314" s="317"/>
      <c r="F314" s="317"/>
      <c r="G314" s="317"/>
    </row>
    <row r="315" spans="1:7" ht="18">
      <c r="A315" s="317"/>
      <c r="B315" s="317"/>
      <c r="C315" s="317"/>
      <c r="D315" s="317"/>
      <c r="E315" s="317"/>
      <c r="F315" s="317"/>
      <c r="G315" s="317"/>
    </row>
    <row r="316" spans="1:7" ht="18">
      <c r="A316" s="317"/>
      <c r="B316" s="317"/>
      <c r="C316" s="317"/>
      <c r="D316" s="317"/>
      <c r="E316" s="317"/>
      <c r="F316" s="317"/>
      <c r="G316" s="317"/>
    </row>
    <row r="317" spans="1:7" ht="18">
      <c r="A317" s="317"/>
      <c r="B317" s="317"/>
      <c r="C317" s="317"/>
      <c r="D317" s="317"/>
      <c r="E317" s="317"/>
      <c r="F317" s="317"/>
      <c r="G317" s="317"/>
    </row>
    <row r="318" spans="1:7" ht="18">
      <c r="A318" s="317"/>
      <c r="B318" s="317"/>
      <c r="C318" s="317"/>
      <c r="D318" s="317"/>
      <c r="E318" s="317"/>
      <c r="F318" s="317"/>
      <c r="G318" s="317"/>
    </row>
    <row r="319" spans="1:7" ht="18">
      <c r="A319" s="317"/>
      <c r="B319" s="317"/>
      <c r="C319" s="317"/>
      <c r="D319" s="317"/>
      <c r="E319" s="317"/>
      <c r="F319" s="317"/>
      <c r="G319" s="317"/>
    </row>
    <row r="320" spans="1:7" ht="18">
      <c r="A320" s="317"/>
      <c r="B320" s="317"/>
      <c r="C320" s="317"/>
      <c r="D320" s="317"/>
      <c r="E320" s="317"/>
      <c r="F320" s="317"/>
      <c r="G320" s="317"/>
    </row>
    <row r="321" spans="1:7" ht="18">
      <c r="A321" s="317"/>
      <c r="B321" s="317"/>
      <c r="C321" s="317"/>
      <c r="D321" s="317"/>
      <c r="E321" s="317"/>
      <c r="F321" s="317"/>
      <c r="G321" s="317"/>
    </row>
    <row r="322" spans="1:7" ht="18">
      <c r="A322" s="317"/>
      <c r="B322" s="317"/>
      <c r="C322" s="317"/>
      <c r="D322" s="317"/>
      <c r="E322" s="317"/>
      <c r="F322" s="317"/>
      <c r="G322" s="317"/>
    </row>
    <row r="323" spans="1:7" ht="18">
      <c r="A323" s="317"/>
      <c r="B323" s="317"/>
      <c r="C323" s="317"/>
      <c r="D323" s="317"/>
      <c r="E323" s="317"/>
      <c r="F323" s="317"/>
      <c r="G323" s="317"/>
    </row>
    <row r="324" spans="1:7" ht="18">
      <c r="A324" s="317"/>
      <c r="B324" s="317"/>
      <c r="C324" s="317"/>
      <c r="D324" s="317"/>
      <c r="E324" s="317"/>
      <c r="F324" s="317"/>
      <c r="G324" s="317"/>
    </row>
    <row r="325" spans="1:7" ht="18">
      <c r="A325" s="317"/>
      <c r="B325" s="317"/>
      <c r="C325" s="317"/>
      <c r="D325" s="317"/>
      <c r="E325" s="317"/>
      <c r="F325" s="317"/>
      <c r="G325" s="317"/>
    </row>
    <row r="326" spans="1:7" ht="18">
      <c r="A326" s="317"/>
      <c r="B326" s="317"/>
      <c r="C326" s="317"/>
      <c r="D326" s="317"/>
      <c r="E326" s="317"/>
      <c r="F326" s="317"/>
      <c r="G326" s="317"/>
    </row>
    <row r="327" spans="1:7" ht="18">
      <c r="A327" s="317"/>
      <c r="B327" s="317"/>
      <c r="C327" s="317"/>
      <c r="D327" s="317"/>
      <c r="E327" s="317"/>
      <c r="F327" s="317"/>
      <c r="G327" s="317"/>
    </row>
    <row r="328" spans="1:7" ht="18">
      <c r="A328" s="317"/>
      <c r="B328" s="317"/>
      <c r="C328" s="317"/>
      <c r="D328" s="317"/>
      <c r="E328" s="317"/>
      <c r="F328" s="317"/>
      <c r="G328" s="317"/>
    </row>
    <row r="329" spans="1:7" ht="18">
      <c r="A329" s="317"/>
      <c r="B329" s="317"/>
      <c r="C329" s="317"/>
      <c r="D329" s="317"/>
      <c r="E329" s="317"/>
      <c r="F329" s="317"/>
      <c r="G329" s="317"/>
    </row>
    <row r="330" spans="1:7" ht="18">
      <c r="A330" s="317"/>
      <c r="B330" s="317"/>
      <c r="C330" s="317"/>
      <c r="D330" s="317"/>
      <c r="E330" s="317"/>
      <c r="F330" s="317"/>
      <c r="G330" s="317"/>
    </row>
    <row r="331" spans="1:7" ht="18">
      <c r="A331" s="317"/>
      <c r="B331" s="317"/>
      <c r="C331" s="317"/>
      <c r="D331" s="317"/>
      <c r="E331" s="317"/>
      <c r="F331" s="317"/>
      <c r="G331" s="317"/>
    </row>
    <row r="332" spans="1:7" ht="18">
      <c r="A332" s="317"/>
      <c r="B332" s="317"/>
      <c r="C332" s="317"/>
      <c r="D332" s="317"/>
      <c r="E332" s="317"/>
      <c r="F332" s="317"/>
      <c r="G332" s="317"/>
    </row>
    <row r="333" spans="1:7" ht="18">
      <c r="A333" s="317"/>
      <c r="B333" s="317"/>
      <c r="C333" s="317"/>
      <c r="D333" s="317"/>
      <c r="E333" s="317"/>
      <c r="F333" s="317"/>
      <c r="G333" s="317"/>
    </row>
    <row r="334" spans="1:7" ht="18">
      <c r="A334" s="317"/>
      <c r="B334" s="317"/>
      <c r="C334" s="317"/>
      <c r="D334" s="317"/>
      <c r="E334" s="317"/>
      <c r="F334" s="317"/>
      <c r="G334" s="317"/>
    </row>
    <row r="335" spans="1:7" ht="18">
      <c r="A335" s="317"/>
      <c r="B335" s="317"/>
      <c r="C335" s="317"/>
      <c r="D335" s="317"/>
      <c r="E335" s="317"/>
      <c r="F335" s="317"/>
      <c r="G335" s="317"/>
    </row>
    <row r="336" spans="1:7" ht="18">
      <c r="A336" s="317"/>
      <c r="B336" s="317"/>
      <c r="C336" s="317"/>
      <c r="D336" s="317"/>
      <c r="E336" s="317"/>
      <c r="F336" s="317"/>
      <c r="G336" s="317"/>
    </row>
    <row r="337" spans="1:7" ht="18">
      <c r="A337" s="317"/>
      <c r="B337" s="317"/>
      <c r="C337" s="317"/>
      <c r="D337" s="317"/>
      <c r="E337" s="317"/>
      <c r="F337" s="317"/>
      <c r="G337" s="317"/>
    </row>
    <row r="338" spans="1:7" ht="18">
      <c r="A338" s="317"/>
      <c r="B338" s="317"/>
      <c r="C338" s="317"/>
      <c r="D338" s="317"/>
      <c r="E338" s="317"/>
      <c r="F338" s="317"/>
      <c r="G338" s="317"/>
    </row>
    <row r="339" spans="1:7" ht="18">
      <c r="A339" s="317"/>
      <c r="B339" s="317"/>
      <c r="C339" s="317"/>
      <c r="D339" s="317"/>
      <c r="E339" s="317"/>
      <c r="F339" s="317"/>
      <c r="G339" s="317"/>
    </row>
    <row r="340" spans="1:7" ht="18">
      <c r="A340" s="317"/>
      <c r="B340" s="317"/>
      <c r="C340" s="317"/>
      <c r="D340" s="317"/>
      <c r="E340" s="317"/>
      <c r="F340" s="317"/>
      <c r="G340" s="317"/>
    </row>
    <row r="341" spans="1:7" ht="18">
      <c r="A341" s="317"/>
      <c r="B341" s="317"/>
      <c r="C341" s="317"/>
      <c r="D341" s="317"/>
      <c r="E341" s="317"/>
      <c r="F341" s="317"/>
      <c r="G341" s="317"/>
    </row>
    <row r="342" spans="1:7" ht="18">
      <c r="A342" s="317"/>
      <c r="B342" s="317"/>
      <c r="C342" s="317"/>
      <c r="D342" s="317"/>
      <c r="E342" s="317"/>
      <c r="F342" s="317"/>
      <c r="G342" s="317"/>
    </row>
    <row r="343" spans="1:7" ht="18">
      <c r="A343" s="317"/>
      <c r="B343" s="317"/>
      <c r="C343" s="317"/>
      <c r="D343" s="317"/>
      <c r="E343" s="317"/>
      <c r="F343" s="317"/>
      <c r="G343" s="317"/>
    </row>
    <row r="344" spans="1:7" ht="18">
      <c r="A344" s="317"/>
      <c r="B344" s="317"/>
      <c r="C344" s="317"/>
      <c r="D344" s="317"/>
      <c r="E344" s="317"/>
      <c r="F344" s="317"/>
      <c r="G344" s="317"/>
    </row>
    <row r="345" spans="1:7" ht="18">
      <c r="A345" s="317"/>
      <c r="B345" s="317"/>
      <c r="C345" s="317"/>
      <c r="D345" s="317"/>
      <c r="E345" s="317"/>
      <c r="F345" s="317"/>
      <c r="G345" s="317"/>
    </row>
    <row r="346" spans="1:7" ht="18">
      <c r="A346" s="317"/>
      <c r="B346" s="317"/>
      <c r="C346" s="317"/>
      <c r="D346" s="317"/>
      <c r="E346" s="317"/>
      <c r="F346" s="317"/>
      <c r="G346" s="317"/>
    </row>
    <row r="347" spans="1:7" ht="18">
      <c r="A347" s="317"/>
      <c r="B347" s="317"/>
      <c r="C347" s="317"/>
      <c r="D347" s="317"/>
      <c r="E347" s="317"/>
      <c r="F347" s="317"/>
      <c r="G347" s="317"/>
    </row>
    <row r="348" spans="1:7" ht="18">
      <c r="A348" s="317"/>
      <c r="B348" s="317"/>
      <c r="C348" s="317"/>
      <c r="D348" s="317"/>
      <c r="E348" s="317"/>
      <c r="F348" s="317"/>
      <c r="G348" s="317"/>
    </row>
    <row r="349" spans="1:7" ht="18">
      <c r="A349" s="317"/>
      <c r="B349" s="317"/>
      <c r="C349" s="317"/>
      <c r="D349" s="317"/>
      <c r="E349" s="317"/>
      <c r="F349" s="317"/>
      <c r="G349" s="317"/>
    </row>
    <row r="350" spans="1:7" ht="18">
      <c r="A350" s="317"/>
      <c r="B350" s="317"/>
      <c r="C350" s="317"/>
      <c r="D350" s="317"/>
      <c r="E350" s="317"/>
      <c r="F350" s="317"/>
      <c r="G350" s="317"/>
    </row>
    <row r="351" spans="1:7" ht="18">
      <c r="A351" s="317"/>
      <c r="B351" s="317"/>
      <c r="C351" s="317"/>
      <c r="D351" s="317"/>
      <c r="E351" s="317"/>
      <c r="F351" s="317"/>
      <c r="G351" s="317"/>
    </row>
    <row r="352" spans="1:7" ht="18">
      <c r="A352" s="317"/>
      <c r="B352" s="317"/>
      <c r="C352" s="317"/>
      <c r="D352" s="317"/>
      <c r="E352" s="317"/>
      <c r="F352" s="317"/>
      <c r="G352" s="317"/>
    </row>
    <row r="353" spans="1:7" ht="18">
      <c r="A353" s="317"/>
      <c r="B353" s="317"/>
      <c r="C353" s="317"/>
      <c r="D353" s="317"/>
      <c r="E353" s="317"/>
      <c r="F353" s="317"/>
      <c r="G353" s="317"/>
    </row>
    <row r="354" spans="1:7" ht="18">
      <c r="A354" s="317"/>
      <c r="B354" s="317"/>
      <c r="C354" s="317"/>
      <c r="D354" s="317"/>
      <c r="E354" s="317"/>
      <c r="F354" s="317"/>
      <c r="G354" s="317"/>
    </row>
    <row r="355" spans="1:7" ht="18">
      <c r="A355" s="317"/>
      <c r="B355" s="317"/>
      <c r="C355" s="317"/>
      <c r="D355" s="317"/>
      <c r="E355" s="317"/>
      <c r="F355" s="317"/>
      <c r="G355" s="317"/>
    </row>
    <row r="356" spans="1:7" ht="18">
      <c r="A356" s="317"/>
      <c r="B356" s="317"/>
      <c r="C356" s="317"/>
      <c r="D356" s="317"/>
      <c r="E356" s="317"/>
      <c r="F356" s="317"/>
      <c r="G356" s="317"/>
    </row>
    <row r="357" spans="1:7" ht="18">
      <c r="A357" s="317"/>
      <c r="B357" s="317"/>
      <c r="C357" s="317"/>
      <c r="D357" s="317"/>
      <c r="E357" s="317"/>
      <c r="F357" s="317"/>
      <c r="G357" s="317"/>
    </row>
    <row r="358" spans="1:7" ht="18">
      <c r="A358" s="317"/>
      <c r="B358" s="317"/>
      <c r="C358" s="317"/>
      <c r="D358" s="317"/>
      <c r="E358" s="317"/>
      <c r="F358" s="317"/>
      <c r="G358" s="317"/>
    </row>
    <row r="359" spans="1:7" ht="18">
      <c r="A359" s="317"/>
      <c r="B359" s="317"/>
      <c r="C359" s="317"/>
      <c r="D359" s="317"/>
      <c r="E359" s="317"/>
      <c r="F359" s="317"/>
      <c r="G359" s="317"/>
    </row>
    <row r="360" spans="1:7" ht="18">
      <c r="A360" s="317"/>
      <c r="B360" s="317"/>
      <c r="C360" s="317"/>
      <c r="D360" s="317"/>
      <c r="E360" s="317"/>
      <c r="F360" s="317"/>
      <c r="G360" s="317"/>
    </row>
    <row r="361" spans="1:7" ht="18">
      <c r="A361" s="317"/>
      <c r="B361" s="317"/>
      <c r="C361" s="317"/>
      <c r="D361" s="317"/>
      <c r="E361" s="317"/>
      <c r="F361" s="317"/>
      <c r="G361" s="317"/>
    </row>
    <row r="362" spans="1:7" ht="18">
      <c r="A362" s="317"/>
      <c r="B362" s="317"/>
      <c r="C362" s="317"/>
      <c r="D362" s="317"/>
      <c r="E362" s="317"/>
      <c r="F362" s="317"/>
      <c r="G362" s="317"/>
    </row>
    <row r="363" spans="1:7" ht="18">
      <c r="A363" s="317"/>
      <c r="B363" s="317"/>
      <c r="C363" s="317"/>
      <c r="D363" s="317"/>
      <c r="E363" s="317"/>
      <c r="F363" s="317"/>
      <c r="G363" s="317"/>
    </row>
    <row r="364" spans="1:7" ht="18">
      <c r="A364" s="317"/>
      <c r="B364" s="317"/>
      <c r="C364" s="317"/>
      <c r="D364" s="317"/>
      <c r="E364" s="317"/>
      <c r="F364" s="317"/>
      <c r="G364" s="317"/>
    </row>
    <row r="365" spans="1:7" ht="18">
      <c r="A365" s="317"/>
      <c r="B365" s="317"/>
      <c r="C365" s="317"/>
      <c r="D365" s="317"/>
      <c r="E365" s="317"/>
      <c r="F365" s="317"/>
      <c r="G365" s="317"/>
    </row>
    <row r="366" spans="1:7" ht="18">
      <c r="A366" s="317"/>
      <c r="B366" s="317"/>
      <c r="C366" s="317"/>
      <c r="D366" s="317"/>
      <c r="E366" s="317"/>
      <c r="F366" s="317"/>
      <c r="G366" s="317"/>
    </row>
    <row r="367" spans="1:7" ht="18">
      <c r="A367" s="317"/>
      <c r="B367" s="317"/>
      <c r="C367" s="317"/>
      <c r="D367" s="317"/>
      <c r="E367" s="317"/>
      <c r="F367" s="317"/>
      <c r="G367" s="317"/>
    </row>
    <row r="368" spans="1:7" ht="18">
      <c r="A368" s="317"/>
      <c r="B368" s="317"/>
      <c r="C368" s="317"/>
      <c r="D368" s="317"/>
      <c r="E368" s="317"/>
      <c r="F368" s="317"/>
      <c r="G368" s="317"/>
    </row>
    <row r="369" spans="1:7" ht="18">
      <c r="A369" s="317"/>
      <c r="B369" s="317"/>
      <c r="C369" s="317"/>
      <c r="D369" s="317"/>
      <c r="E369" s="317"/>
      <c r="F369" s="317"/>
      <c r="G369" s="317"/>
    </row>
    <row r="370" spans="1:7" ht="18">
      <c r="A370" s="317"/>
      <c r="B370" s="317"/>
      <c r="C370" s="317"/>
      <c r="D370" s="317"/>
      <c r="E370" s="317"/>
      <c r="F370" s="317"/>
      <c r="G370" s="317"/>
    </row>
    <row r="371" spans="1:7" ht="18">
      <c r="A371" s="317"/>
      <c r="B371" s="317"/>
      <c r="C371" s="317"/>
      <c r="D371" s="317"/>
      <c r="E371" s="317"/>
      <c r="F371" s="317"/>
      <c r="G371" s="317"/>
    </row>
    <row r="372" spans="1:7" ht="18">
      <c r="A372" s="317"/>
      <c r="B372" s="317"/>
      <c r="C372" s="317"/>
      <c r="D372" s="317"/>
      <c r="E372" s="317"/>
      <c r="F372" s="317"/>
      <c r="G372" s="317"/>
    </row>
    <row r="373" spans="1:7" ht="18">
      <c r="A373" s="317"/>
      <c r="B373" s="317"/>
      <c r="C373" s="317"/>
      <c r="D373" s="317"/>
      <c r="E373" s="317"/>
      <c r="F373" s="317"/>
      <c r="G373" s="317"/>
    </row>
    <row r="374" spans="1:7" ht="18">
      <c r="A374" s="317"/>
      <c r="B374" s="317"/>
      <c r="C374" s="317"/>
      <c r="D374" s="317"/>
      <c r="E374" s="317"/>
      <c r="F374" s="317"/>
      <c r="G374" s="317"/>
    </row>
    <row r="375" spans="1:7" ht="18">
      <c r="A375" s="317"/>
      <c r="B375" s="317"/>
      <c r="C375" s="317"/>
      <c r="D375" s="317"/>
      <c r="E375" s="317"/>
      <c r="F375" s="317"/>
      <c r="G375" s="317"/>
    </row>
    <row r="376" spans="1:7" ht="18">
      <c r="A376" s="317"/>
      <c r="B376" s="317"/>
      <c r="C376" s="317"/>
      <c r="D376" s="317"/>
      <c r="E376" s="317"/>
      <c r="F376" s="317"/>
      <c r="G376" s="317"/>
    </row>
    <row r="377" spans="1:7" ht="18">
      <c r="A377" s="317"/>
      <c r="B377" s="317"/>
      <c r="C377" s="317"/>
      <c r="D377" s="317"/>
      <c r="E377" s="317"/>
      <c r="F377" s="317"/>
      <c r="G377" s="317"/>
    </row>
    <row r="378" spans="1:7" ht="18">
      <c r="A378" s="317"/>
      <c r="B378" s="317"/>
      <c r="C378" s="317"/>
      <c r="D378" s="317"/>
      <c r="E378" s="317"/>
      <c r="F378" s="317"/>
      <c r="G378" s="317"/>
    </row>
    <row r="379" spans="1:7" ht="18">
      <c r="A379" s="317"/>
      <c r="B379" s="317"/>
      <c r="C379" s="317"/>
      <c r="D379" s="317"/>
      <c r="E379" s="317"/>
      <c r="F379" s="317"/>
      <c r="G379" s="317"/>
    </row>
    <row r="380" spans="1:7" ht="18">
      <c r="A380" s="317"/>
      <c r="B380" s="317"/>
      <c r="C380" s="317"/>
      <c r="D380" s="317"/>
      <c r="E380" s="317"/>
      <c r="F380" s="317"/>
      <c r="G380" s="317"/>
    </row>
    <row r="381" spans="1:7" ht="18">
      <c r="A381" s="317"/>
      <c r="B381" s="317"/>
      <c r="C381" s="317"/>
      <c r="D381" s="317"/>
      <c r="E381" s="317"/>
      <c r="F381" s="317"/>
      <c r="G381" s="317"/>
    </row>
    <row r="382" spans="1:7" ht="18">
      <c r="A382" s="317"/>
      <c r="B382" s="317"/>
      <c r="C382" s="317"/>
      <c r="D382" s="317"/>
      <c r="E382" s="317"/>
      <c r="F382" s="317"/>
      <c r="G382" s="317"/>
    </row>
    <row r="383" spans="1:7" ht="18">
      <c r="A383" s="317"/>
      <c r="B383" s="317"/>
      <c r="C383" s="317"/>
      <c r="D383" s="317"/>
      <c r="E383" s="317"/>
      <c r="F383" s="317"/>
      <c r="G383" s="317"/>
    </row>
    <row r="384" spans="1:7" ht="18">
      <c r="A384" s="317"/>
      <c r="B384" s="317"/>
      <c r="C384" s="317"/>
      <c r="D384" s="317"/>
      <c r="E384" s="317"/>
      <c r="F384" s="317"/>
      <c r="G384" s="317"/>
    </row>
    <row r="385" spans="1:7" ht="18">
      <c r="A385" s="317"/>
      <c r="B385" s="317"/>
      <c r="C385" s="317"/>
      <c r="D385" s="317"/>
      <c r="E385" s="317"/>
      <c r="F385" s="317"/>
      <c r="G385" s="317"/>
    </row>
    <row r="386" spans="1:7" ht="18">
      <c r="A386" s="317"/>
      <c r="B386" s="317"/>
      <c r="C386" s="317"/>
      <c r="D386" s="317"/>
      <c r="E386" s="317"/>
      <c r="F386" s="317"/>
      <c r="G386" s="317"/>
    </row>
    <row r="387" spans="1:7" ht="18">
      <c r="A387" s="317"/>
      <c r="B387" s="317"/>
      <c r="C387" s="317"/>
      <c r="D387" s="317"/>
      <c r="E387" s="317"/>
      <c r="F387" s="317"/>
      <c r="G387" s="317"/>
    </row>
    <row r="388" spans="1:7" ht="18">
      <c r="A388" s="317"/>
      <c r="B388" s="317"/>
      <c r="C388" s="317"/>
      <c r="D388" s="317"/>
      <c r="E388" s="317"/>
      <c r="F388" s="317"/>
      <c r="G388" s="317"/>
    </row>
    <row r="389" spans="1:7" ht="18">
      <c r="A389" s="317"/>
      <c r="B389" s="317"/>
      <c r="C389" s="317"/>
      <c r="D389" s="317"/>
      <c r="E389" s="317"/>
      <c r="F389" s="317"/>
      <c r="G389" s="317"/>
    </row>
    <row r="390" spans="1:7" ht="18">
      <c r="A390" s="317"/>
      <c r="B390" s="317"/>
      <c r="C390" s="317"/>
      <c r="D390" s="317"/>
      <c r="E390" s="317"/>
      <c r="F390" s="317"/>
      <c r="G390" s="317"/>
    </row>
    <row r="391" spans="1:7" ht="18">
      <c r="A391" s="317"/>
      <c r="B391" s="317"/>
      <c r="C391" s="317"/>
      <c r="D391" s="317"/>
      <c r="E391" s="317"/>
      <c r="F391" s="317"/>
      <c r="G391" s="317"/>
    </row>
    <row r="392" spans="1:7" ht="18">
      <c r="A392" s="317"/>
      <c r="B392" s="317"/>
      <c r="C392" s="317"/>
      <c r="D392" s="317"/>
      <c r="E392" s="317"/>
      <c r="F392" s="317"/>
      <c r="G392" s="317"/>
    </row>
    <row r="393" spans="1:7" ht="18">
      <c r="A393" s="317"/>
      <c r="B393" s="317"/>
      <c r="C393" s="317"/>
      <c r="D393" s="317"/>
      <c r="E393" s="317"/>
      <c r="F393" s="317"/>
      <c r="G393" s="317"/>
    </row>
    <row r="394" spans="1:7" ht="18">
      <c r="A394" s="317"/>
      <c r="B394" s="317"/>
      <c r="C394" s="317"/>
      <c r="D394" s="317"/>
      <c r="E394" s="317"/>
      <c r="F394" s="317"/>
      <c r="G394" s="317"/>
    </row>
    <row r="395" spans="1:7" ht="18">
      <c r="A395" s="317"/>
      <c r="B395" s="317"/>
      <c r="C395" s="317"/>
      <c r="D395" s="317"/>
      <c r="E395" s="317"/>
      <c r="F395" s="317"/>
      <c r="G395" s="317"/>
    </row>
    <row r="396" spans="1:7" ht="18">
      <c r="A396" s="317"/>
      <c r="B396" s="317"/>
      <c r="C396" s="317"/>
      <c r="D396" s="317"/>
      <c r="E396" s="317"/>
      <c r="F396" s="317"/>
      <c r="G396" s="317"/>
    </row>
    <row r="397" spans="1:7" ht="18">
      <c r="A397" s="317"/>
      <c r="B397" s="317"/>
      <c r="C397" s="317"/>
      <c r="D397" s="317"/>
      <c r="E397" s="317"/>
      <c r="F397" s="317"/>
      <c r="G397" s="317"/>
    </row>
    <row r="398" spans="1:7" ht="18">
      <c r="A398" s="317"/>
      <c r="B398" s="317"/>
      <c r="C398" s="317"/>
      <c r="D398" s="317"/>
      <c r="E398" s="317"/>
      <c r="F398" s="317"/>
      <c r="G398" s="317"/>
    </row>
    <row r="399" spans="1:7" ht="18">
      <c r="A399" s="317"/>
      <c r="B399" s="317"/>
      <c r="C399" s="317"/>
      <c r="D399" s="317"/>
      <c r="E399" s="317"/>
      <c r="F399" s="317"/>
      <c r="G399" s="317"/>
    </row>
    <row r="400" spans="1:7" ht="18">
      <c r="A400" s="317"/>
      <c r="B400" s="317"/>
      <c r="C400" s="317"/>
      <c r="D400" s="317"/>
      <c r="E400" s="317"/>
      <c r="F400" s="317"/>
      <c r="G400" s="317"/>
    </row>
    <row r="401" spans="1:7" ht="18">
      <c r="A401" s="317"/>
      <c r="B401" s="317"/>
      <c r="C401" s="317"/>
      <c r="D401" s="317"/>
      <c r="E401" s="317"/>
      <c r="F401" s="317"/>
      <c r="G401" s="317"/>
    </row>
    <row r="402" spans="1:7" ht="18">
      <c r="A402" s="317"/>
      <c r="B402" s="317"/>
      <c r="C402" s="317"/>
      <c r="D402" s="317"/>
      <c r="E402" s="317"/>
      <c r="F402" s="317"/>
      <c r="G402" s="317"/>
    </row>
    <row r="403" spans="1:7" ht="18">
      <c r="A403" s="317"/>
      <c r="B403" s="317"/>
      <c r="C403" s="317"/>
      <c r="D403" s="317"/>
      <c r="E403" s="317"/>
      <c r="F403" s="317"/>
      <c r="G403" s="317"/>
    </row>
    <row r="404" spans="1:7" ht="18">
      <c r="A404" s="317"/>
      <c r="B404" s="317"/>
      <c r="C404" s="317"/>
      <c r="D404" s="317"/>
      <c r="E404" s="317"/>
      <c r="F404" s="317"/>
      <c r="G404" s="317"/>
    </row>
    <row r="405" spans="1:7" ht="18">
      <c r="A405" s="317"/>
      <c r="B405" s="317"/>
      <c r="C405" s="317"/>
      <c r="D405" s="317"/>
      <c r="E405" s="317"/>
      <c r="F405" s="317"/>
      <c r="G405" s="317"/>
    </row>
    <row r="406" spans="1:7" ht="18">
      <c r="A406" s="317"/>
      <c r="B406" s="317"/>
      <c r="C406" s="317"/>
      <c r="D406" s="317"/>
      <c r="E406" s="317"/>
      <c r="F406" s="317"/>
      <c r="G406" s="317"/>
    </row>
    <row r="407" spans="1:7" ht="18">
      <c r="A407" s="317"/>
      <c r="B407" s="317"/>
      <c r="C407" s="317"/>
      <c r="D407" s="317"/>
      <c r="E407" s="317"/>
      <c r="F407" s="317"/>
      <c r="G407" s="317"/>
    </row>
    <row r="408" spans="1:7" ht="18">
      <c r="A408" s="317"/>
      <c r="B408" s="317"/>
      <c r="C408" s="317"/>
      <c r="D408" s="317"/>
      <c r="E408" s="317"/>
      <c r="F408" s="317"/>
      <c r="G408" s="317"/>
    </row>
    <row r="409" spans="1:7" ht="18">
      <c r="A409" s="317"/>
      <c r="B409" s="317"/>
      <c r="C409" s="317"/>
      <c r="D409" s="317"/>
      <c r="E409" s="317"/>
      <c r="F409" s="317"/>
      <c r="G409" s="317"/>
    </row>
    <row r="410" spans="1:7" ht="18">
      <c r="A410" s="317"/>
      <c r="B410" s="317"/>
      <c r="C410" s="317"/>
      <c r="D410" s="317"/>
      <c r="E410" s="317"/>
      <c r="F410" s="317"/>
      <c r="G410" s="317"/>
    </row>
    <row r="411" spans="1:7" ht="18">
      <c r="A411" s="317"/>
      <c r="B411" s="317"/>
      <c r="C411" s="317"/>
      <c r="D411" s="317"/>
      <c r="E411" s="317"/>
      <c r="F411" s="317"/>
      <c r="G411" s="317"/>
    </row>
    <row r="412" spans="1:7" ht="18">
      <c r="A412" s="317"/>
      <c r="B412" s="317"/>
      <c r="C412" s="317"/>
      <c r="D412" s="317"/>
      <c r="E412" s="317"/>
      <c r="F412" s="317"/>
      <c r="G412" s="317"/>
    </row>
    <row r="413" spans="1:7" ht="18">
      <c r="A413" s="317"/>
      <c r="B413" s="317"/>
      <c r="C413" s="317"/>
      <c r="D413" s="317"/>
      <c r="E413" s="317"/>
      <c r="F413" s="317"/>
      <c r="G413" s="317"/>
    </row>
    <row r="414" spans="1:7" ht="18">
      <c r="A414" s="317"/>
      <c r="B414" s="317"/>
      <c r="C414" s="317"/>
      <c r="D414" s="317"/>
      <c r="E414" s="317"/>
      <c r="F414" s="317"/>
      <c r="G414" s="317"/>
    </row>
    <row r="415" spans="1:7" ht="18">
      <c r="A415" s="317"/>
      <c r="B415" s="317"/>
      <c r="C415" s="317"/>
      <c r="D415" s="317"/>
      <c r="E415" s="317"/>
      <c r="F415" s="317"/>
      <c r="G415" s="317"/>
    </row>
    <row r="416" spans="1:7" ht="18">
      <c r="A416" s="317"/>
      <c r="B416" s="317"/>
      <c r="C416" s="317"/>
      <c r="D416" s="317"/>
      <c r="E416" s="317"/>
      <c r="F416" s="317"/>
      <c r="G416" s="317"/>
    </row>
    <row r="417" spans="1:7" ht="18">
      <c r="A417" s="317"/>
      <c r="B417" s="317"/>
      <c r="C417" s="317"/>
      <c r="D417" s="317"/>
      <c r="E417" s="317"/>
      <c r="F417" s="317"/>
      <c r="G417" s="317"/>
    </row>
    <row r="418" spans="1:7" ht="18">
      <c r="A418" s="317"/>
      <c r="B418" s="317"/>
      <c r="C418" s="317"/>
      <c r="D418" s="317"/>
      <c r="E418" s="317"/>
      <c r="F418" s="317"/>
      <c r="G418" s="317"/>
    </row>
    <row r="419" spans="1:7" ht="18">
      <c r="A419" s="317"/>
      <c r="B419" s="317"/>
      <c r="C419" s="317"/>
      <c r="D419" s="317"/>
      <c r="E419" s="317"/>
      <c r="F419" s="317"/>
      <c r="G419" s="317"/>
    </row>
    <row r="420" spans="1:7" ht="18">
      <c r="A420" s="317"/>
      <c r="B420" s="317"/>
      <c r="C420" s="317"/>
      <c r="D420" s="317"/>
      <c r="E420" s="317"/>
      <c r="F420" s="317"/>
      <c r="G420" s="317"/>
    </row>
    <row r="421" spans="1:7" ht="18">
      <c r="A421" s="317"/>
      <c r="B421" s="317"/>
      <c r="C421" s="317"/>
      <c r="D421" s="317"/>
      <c r="E421" s="317"/>
      <c r="F421" s="317"/>
      <c r="G421" s="317"/>
    </row>
    <row r="422" spans="1:7" ht="18">
      <c r="A422" s="317"/>
      <c r="B422" s="317"/>
      <c r="C422" s="317"/>
      <c r="D422" s="317"/>
      <c r="E422" s="317"/>
      <c r="F422" s="317"/>
      <c r="G422" s="317"/>
    </row>
    <row r="423" spans="1:7" ht="18">
      <c r="A423" s="317"/>
      <c r="B423" s="317"/>
      <c r="C423" s="317"/>
      <c r="D423" s="317"/>
      <c r="E423" s="317"/>
      <c r="F423" s="317"/>
      <c r="G423" s="317"/>
    </row>
    <row r="424" spans="1:7" ht="18">
      <c r="A424" s="317"/>
      <c r="B424" s="317"/>
      <c r="C424" s="317"/>
      <c r="D424" s="317"/>
      <c r="E424" s="317"/>
      <c r="F424" s="317"/>
      <c r="G424" s="317"/>
    </row>
    <row r="425" spans="1:7" ht="18">
      <c r="A425" s="317"/>
      <c r="B425" s="317"/>
      <c r="C425" s="317"/>
      <c r="D425" s="317"/>
      <c r="E425" s="317"/>
      <c r="F425" s="317"/>
      <c r="G425" s="317"/>
    </row>
    <row r="426" spans="1:7" ht="18">
      <c r="A426" s="317"/>
      <c r="B426" s="317"/>
      <c r="C426" s="317"/>
      <c r="D426" s="317"/>
      <c r="E426" s="317"/>
      <c r="F426" s="317"/>
      <c r="G426" s="317"/>
    </row>
    <row r="427" spans="1:7" ht="18">
      <c r="A427" s="317"/>
      <c r="B427" s="317"/>
      <c r="C427" s="317"/>
      <c r="D427" s="317"/>
      <c r="E427" s="317"/>
      <c r="F427" s="317"/>
      <c r="G427" s="317"/>
    </row>
    <row r="428" spans="1:7" ht="18">
      <c r="A428" s="317"/>
      <c r="B428" s="317"/>
      <c r="C428" s="317"/>
      <c r="D428" s="317"/>
      <c r="E428" s="317"/>
      <c r="F428" s="317"/>
      <c r="G428" s="317"/>
    </row>
    <row r="429" spans="1:7" ht="18">
      <c r="A429" s="317"/>
      <c r="B429" s="317"/>
      <c r="C429" s="317"/>
      <c r="D429" s="317"/>
      <c r="E429" s="317"/>
      <c r="F429" s="317"/>
      <c r="G429" s="317"/>
    </row>
    <row r="430" spans="1:7" ht="18">
      <c r="A430" s="317"/>
      <c r="B430" s="317"/>
      <c r="C430" s="317"/>
      <c r="D430" s="317"/>
      <c r="E430" s="317"/>
      <c r="F430" s="317"/>
      <c r="G430" s="317"/>
    </row>
    <row r="431" spans="1:7" ht="18">
      <c r="A431" s="317"/>
      <c r="B431" s="317"/>
      <c r="C431" s="317"/>
      <c r="D431" s="317"/>
      <c r="E431" s="317"/>
      <c r="F431" s="317"/>
      <c r="G431" s="317"/>
    </row>
    <row r="432" spans="1:7" ht="18">
      <c r="A432" s="317"/>
      <c r="B432" s="317"/>
      <c r="C432" s="317"/>
      <c r="D432" s="317"/>
      <c r="E432" s="317"/>
      <c r="F432" s="317"/>
      <c r="G432" s="317"/>
    </row>
    <row r="433" spans="1:7" ht="18">
      <c r="A433" s="317"/>
      <c r="B433" s="317"/>
      <c r="C433" s="317"/>
      <c r="D433" s="317"/>
      <c r="E433" s="317"/>
      <c r="F433" s="317"/>
      <c r="G433" s="317"/>
    </row>
    <row r="434" spans="1:7" ht="18">
      <c r="A434" s="317"/>
      <c r="B434" s="317"/>
      <c r="C434" s="317"/>
      <c r="D434" s="317"/>
      <c r="E434" s="317"/>
      <c r="F434" s="317"/>
      <c r="G434" s="317"/>
    </row>
    <row r="435" spans="1:7" ht="18">
      <c r="A435" s="317"/>
      <c r="B435" s="317"/>
      <c r="C435" s="317"/>
      <c r="D435" s="317"/>
      <c r="E435" s="317"/>
      <c r="F435" s="317"/>
      <c r="G435" s="317"/>
    </row>
    <row r="436" spans="1:7" ht="18">
      <c r="A436" s="317"/>
      <c r="B436" s="317"/>
      <c r="C436" s="317"/>
      <c r="D436" s="317"/>
      <c r="E436" s="317"/>
      <c r="F436" s="317"/>
      <c r="G436" s="317"/>
    </row>
    <row r="437" spans="1:7" ht="18">
      <c r="A437" s="317"/>
      <c r="B437" s="317"/>
      <c r="C437" s="317"/>
      <c r="D437" s="317"/>
      <c r="E437" s="317"/>
      <c r="F437" s="317"/>
      <c r="G437" s="317"/>
    </row>
    <row r="438" spans="1:7" ht="18">
      <c r="A438" s="317"/>
      <c r="B438" s="317"/>
      <c r="C438" s="317"/>
      <c r="D438" s="317"/>
      <c r="E438" s="317"/>
      <c r="F438" s="317"/>
      <c r="G438" s="317"/>
    </row>
    <row r="439" spans="1:7" ht="18">
      <c r="A439" s="317"/>
      <c r="B439" s="317"/>
      <c r="C439" s="317"/>
      <c r="D439" s="317"/>
      <c r="E439" s="317"/>
      <c r="F439" s="317"/>
      <c r="G439" s="317"/>
    </row>
    <row r="440" spans="1:7" ht="18">
      <c r="A440" s="317"/>
      <c r="B440" s="317"/>
      <c r="C440" s="317"/>
      <c r="D440" s="317"/>
      <c r="E440" s="317"/>
      <c r="F440" s="317"/>
      <c r="G440" s="317"/>
    </row>
    <row r="441" spans="1:7" ht="18">
      <c r="A441" s="317"/>
      <c r="B441" s="317"/>
      <c r="C441" s="317"/>
      <c r="D441" s="317"/>
      <c r="E441" s="317"/>
      <c r="F441" s="317"/>
      <c r="G441" s="317"/>
    </row>
    <row r="442" spans="1:7" ht="18">
      <c r="A442" s="317"/>
      <c r="B442" s="317"/>
      <c r="C442" s="317"/>
      <c r="D442" s="317"/>
      <c r="E442" s="317"/>
      <c r="F442" s="317"/>
      <c r="G442" s="317"/>
    </row>
    <row r="443" spans="1:7" ht="18">
      <c r="A443" s="317"/>
      <c r="B443" s="317"/>
      <c r="C443" s="317"/>
      <c r="D443" s="317"/>
      <c r="E443" s="317"/>
      <c r="F443" s="317"/>
      <c r="G443" s="317"/>
    </row>
    <row r="444" spans="1:7" ht="18">
      <c r="A444" s="317"/>
      <c r="B444" s="317"/>
      <c r="C444" s="317"/>
      <c r="D444" s="317"/>
      <c r="E444" s="317"/>
      <c r="F444" s="317"/>
      <c r="G444" s="317"/>
    </row>
    <row r="445" spans="1:7" ht="18">
      <c r="A445" s="317"/>
      <c r="B445" s="317"/>
      <c r="C445" s="317"/>
      <c r="D445" s="317"/>
      <c r="E445" s="317"/>
      <c r="F445" s="317"/>
      <c r="G445" s="317"/>
    </row>
    <row r="446" spans="1:7" ht="18">
      <c r="A446" s="317"/>
      <c r="B446" s="317"/>
      <c r="C446" s="317"/>
      <c r="D446" s="317"/>
      <c r="E446" s="317"/>
      <c r="F446" s="317"/>
      <c r="G446" s="317"/>
    </row>
    <row r="447" spans="1:7" ht="18">
      <c r="A447" s="317"/>
      <c r="B447" s="317"/>
      <c r="C447" s="317"/>
      <c r="D447" s="317"/>
      <c r="E447" s="317"/>
      <c r="F447" s="317"/>
      <c r="G447" s="317"/>
    </row>
    <row r="448" spans="1:7" ht="18">
      <c r="A448" s="317"/>
      <c r="B448" s="317"/>
      <c r="C448" s="317"/>
      <c r="D448" s="317"/>
      <c r="E448" s="317"/>
      <c r="F448" s="317"/>
      <c r="G448" s="317"/>
    </row>
    <row r="449" spans="1:7" ht="18">
      <c r="A449" s="317"/>
      <c r="B449" s="317"/>
      <c r="C449" s="317"/>
      <c r="D449" s="317"/>
      <c r="E449" s="317"/>
      <c r="F449" s="317"/>
      <c r="G449" s="317"/>
    </row>
    <row r="450" spans="1:7" ht="18">
      <c r="A450" s="317"/>
      <c r="B450" s="317"/>
      <c r="C450" s="317"/>
      <c r="D450" s="317"/>
      <c r="E450" s="317"/>
      <c r="F450" s="317"/>
      <c r="G450" s="317"/>
    </row>
    <row r="451" spans="1:7" ht="18">
      <c r="A451" s="317"/>
      <c r="B451" s="317"/>
      <c r="C451" s="317"/>
      <c r="D451" s="317"/>
      <c r="E451" s="317"/>
      <c r="F451" s="317"/>
      <c r="G451" s="317"/>
    </row>
    <row r="452" spans="1:7" ht="18">
      <c r="A452" s="317"/>
      <c r="B452" s="317"/>
      <c r="C452" s="317"/>
      <c r="D452" s="317"/>
      <c r="E452" s="317"/>
      <c r="F452" s="317"/>
      <c r="G452" s="317"/>
    </row>
    <row r="453" spans="1:7" ht="18">
      <c r="A453" s="317"/>
      <c r="B453" s="317"/>
      <c r="C453" s="317"/>
      <c r="D453" s="317"/>
      <c r="E453" s="317"/>
      <c r="F453" s="317"/>
      <c r="G453" s="317"/>
    </row>
    <row r="454" spans="1:7" ht="18">
      <c r="A454" s="317"/>
      <c r="B454" s="317"/>
      <c r="C454" s="317"/>
      <c r="D454" s="317"/>
      <c r="E454" s="317"/>
      <c r="F454" s="317"/>
      <c r="G454" s="317"/>
    </row>
    <row r="455" spans="1:7" ht="18">
      <c r="A455" s="317"/>
      <c r="B455" s="317"/>
      <c r="C455" s="317"/>
      <c r="D455" s="317"/>
      <c r="E455" s="317"/>
      <c r="F455" s="317"/>
      <c r="G455" s="317"/>
    </row>
    <row r="456" spans="1:7" ht="18">
      <c r="A456" s="317"/>
      <c r="B456" s="317"/>
      <c r="C456" s="317"/>
      <c r="D456" s="317"/>
      <c r="E456" s="317"/>
      <c r="F456" s="317"/>
      <c r="G456" s="317"/>
    </row>
    <row r="457" spans="1:7" ht="18">
      <c r="A457" s="317"/>
      <c r="B457" s="317"/>
      <c r="C457" s="317"/>
      <c r="D457" s="317"/>
      <c r="E457" s="317"/>
      <c r="F457" s="317"/>
      <c r="G457" s="317"/>
    </row>
    <row r="458" spans="1:7" ht="18">
      <c r="A458" s="317"/>
      <c r="B458" s="317"/>
      <c r="C458" s="317"/>
      <c r="D458" s="317"/>
      <c r="E458" s="317"/>
      <c r="F458" s="317"/>
      <c r="G458" s="317"/>
    </row>
    <row r="459" spans="1:7" ht="18">
      <c r="A459" s="317"/>
      <c r="B459" s="317"/>
      <c r="C459" s="317"/>
      <c r="D459" s="317"/>
      <c r="E459" s="317"/>
      <c r="F459" s="317"/>
      <c r="G459" s="317"/>
    </row>
    <row r="460" spans="1:7" ht="18">
      <c r="A460" s="317"/>
      <c r="B460" s="317"/>
      <c r="C460" s="317"/>
      <c r="D460" s="317"/>
      <c r="E460" s="317"/>
      <c r="F460" s="317"/>
      <c r="G460" s="317"/>
    </row>
    <row r="461" spans="1:7" ht="18">
      <c r="A461" s="317"/>
      <c r="B461" s="317"/>
      <c r="C461" s="317"/>
      <c r="D461" s="317"/>
      <c r="E461" s="317"/>
      <c r="F461" s="317"/>
      <c r="G461" s="317"/>
    </row>
    <row r="462" spans="1:7" ht="18">
      <c r="A462" s="317"/>
      <c r="B462" s="317"/>
      <c r="C462" s="317"/>
      <c r="D462" s="317"/>
      <c r="E462" s="317"/>
      <c r="F462" s="317"/>
      <c r="G462" s="317"/>
    </row>
    <row r="463" spans="1:7" ht="18">
      <c r="A463" s="317"/>
      <c r="B463" s="317"/>
      <c r="C463" s="317"/>
      <c r="D463" s="317"/>
      <c r="E463" s="317"/>
      <c r="F463" s="317"/>
      <c r="G463" s="317"/>
    </row>
    <row r="464" spans="1:7" ht="18">
      <c r="A464" s="317"/>
      <c r="B464" s="317"/>
      <c r="C464" s="317"/>
      <c r="D464" s="317"/>
      <c r="E464" s="317"/>
      <c r="F464" s="317"/>
      <c r="G464" s="317"/>
    </row>
    <row r="465" spans="1:7" ht="18">
      <c r="A465" s="317"/>
      <c r="B465" s="317"/>
      <c r="C465" s="317"/>
      <c r="D465" s="317"/>
      <c r="E465" s="317"/>
      <c r="F465" s="317"/>
      <c r="G465" s="317"/>
    </row>
    <row r="466" spans="1:7" ht="18">
      <c r="A466" s="317"/>
      <c r="B466" s="317"/>
      <c r="C466" s="317"/>
      <c r="D466" s="317"/>
      <c r="E466" s="317"/>
      <c r="F466" s="317"/>
      <c r="G466" s="317"/>
    </row>
    <row r="467" spans="1:7" ht="18">
      <c r="A467" s="317"/>
      <c r="B467" s="317"/>
      <c r="C467" s="317"/>
      <c r="D467" s="317"/>
      <c r="E467" s="317"/>
      <c r="F467" s="317"/>
      <c r="G467" s="317"/>
    </row>
    <row r="468" spans="1:7" ht="18">
      <c r="A468" s="317"/>
      <c r="B468" s="317"/>
      <c r="C468" s="317"/>
      <c r="D468" s="317"/>
      <c r="E468" s="317"/>
      <c r="F468" s="317"/>
      <c r="G468" s="317"/>
    </row>
    <row r="469" spans="1:7" ht="18">
      <c r="A469" s="317"/>
      <c r="B469" s="317"/>
      <c r="C469" s="317"/>
      <c r="D469" s="317"/>
      <c r="E469" s="317"/>
      <c r="F469" s="317"/>
      <c r="G469" s="317"/>
    </row>
    <row r="470" spans="1:7" ht="18">
      <c r="A470" s="317"/>
      <c r="B470" s="317"/>
      <c r="C470" s="317"/>
      <c r="D470" s="317"/>
      <c r="E470" s="317"/>
      <c r="F470" s="317"/>
      <c r="G470" s="317"/>
    </row>
    <row r="471" spans="1:7" ht="18">
      <c r="A471" s="317"/>
      <c r="B471" s="317"/>
      <c r="C471" s="317"/>
      <c r="D471" s="317"/>
      <c r="E471" s="317"/>
      <c r="F471" s="317"/>
      <c r="G471" s="317"/>
    </row>
    <row r="472" spans="1:7" ht="18">
      <c r="A472" s="317"/>
      <c r="B472" s="317"/>
      <c r="C472" s="317"/>
      <c r="D472" s="317"/>
      <c r="E472" s="317"/>
      <c r="F472" s="317"/>
      <c r="G472" s="317"/>
    </row>
    <row r="473" spans="1:7" ht="18">
      <c r="A473" s="317"/>
      <c r="B473" s="317"/>
      <c r="C473" s="317"/>
      <c r="D473" s="317"/>
      <c r="E473" s="317"/>
      <c r="F473" s="317"/>
      <c r="G473" s="317"/>
    </row>
    <row r="474" spans="1:7" ht="18">
      <c r="A474" s="317"/>
      <c r="B474" s="317"/>
      <c r="C474" s="317"/>
      <c r="D474" s="317"/>
      <c r="E474" s="317"/>
      <c r="F474" s="317"/>
      <c r="G474" s="317"/>
    </row>
    <row r="475" spans="1:7" ht="18">
      <c r="A475" s="317"/>
      <c r="B475" s="317"/>
      <c r="C475" s="317"/>
      <c r="D475" s="317"/>
      <c r="E475" s="317"/>
      <c r="F475" s="317"/>
      <c r="G475" s="317"/>
    </row>
    <row r="476" spans="1:7" ht="18">
      <c r="A476" s="317"/>
      <c r="B476" s="317"/>
      <c r="C476" s="317"/>
      <c r="D476" s="317"/>
      <c r="E476" s="317"/>
      <c r="F476" s="317"/>
      <c r="G476" s="317"/>
    </row>
    <row r="477" spans="1:7" ht="18">
      <c r="A477" s="317"/>
      <c r="B477" s="317"/>
      <c r="C477" s="317"/>
      <c r="D477" s="317"/>
      <c r="E477" s="317"/>
      <c r="F477" s="317"/>
      <c r="G477" s="317"/>
    </row>
    <row r="478" spans="1:7" ht="18">
      <c r="A478" s="317"/>
      <c r="B478" s="317"/>
      <c r="C478" s="317"/>
      <c r="D478" s="317"/>
      <c r="E478" s="317"/>
      <c r="F478" s="317"/>
      <c r="G478" s="317"/>
    </row>
    <row r="479" spans="1:7" ht="18">
      <c r="A479" s="317"/>
      <c r="B479" s="317"/>
      <c r="C479" s="317"/>
      <c r="D479" s="317"/>
      <c r="E479" s="317"/>
      <c r="F479" s="317"/>
      <c r="G479" s="317"/>
    </row>
    <row r="480" spans="1:7" ht="18">
      <c r="A480" s="317"/>
      <c r="B480" s="317"/>
      <c r="C480" s="317"/>
      <c r="D480" s="317"/>
      <c r="E480" s="317"/>
      <c r="F480" s="317"/>
      <c r="G480" s="317"/>
    </row>
    <row r="481" spans="1:7" ht="18">
      <c r="A481" s="317"/>
      <c r="B481" s="317"/>
      <c r="C481" s="317"/>
      <c r="D481" s="317"/>
      <c r="E481" s="317"/>
      <c r="F481" s="317"/>
      <c r="G481" s="317"/>
    </row>
    <row r="482" spans="1:7" ht="18">
      <c r="A482" s="317"/>
      <c r="B482" s="317"/>
      <c r="C482" s="317"/>
      <c r="D482" s="317"/>
      <c r="E482" s="317"/>
      <c r="F482" s="317"/>
      <c r="G482" s="317"/>
    </row>
    <row r="483" spans="1:7" ht="18">
      <c r="A483" s="317"/>
      <c r="B483" s="317"/>
      <c r="C483" s="317"/>
      <c r="D483" s="317"/>
      <c r="E483" s="317"/>
      <c r="F483" s="317"/>
      <c r="G483" s="317"/>
    </row>
    <row r="484" spans="1:7" ht="18">
      <c r="A484" s="317"/>
      <c r="B484" s="317"/>
      <c r="C484" s="317"/>
      <c r="D484" s="317"/>
      <c r="E484" s="317"/>
      <c r="F484" s="317"/>
      <c r="G484" s="317"/>
    </row>
    <row r="485" spans="1:7" ht="18">
      <c r="A485" s="317"/>
      <c r="B485" s="317"/>
      <c r="C485" s="317"/>
      <c r="D485" s="317"/>
      <c r="E485" s="317"/>
      <c r="F485" s="317"/>
      <c r="G485" s="317"/>
    </row>
    <row r="486" spans="1:7" ht="18">
      <c r="A486" s="317"/>
      <c r="B486" s="317"/>
      <c r="C486" s="317"/>
      <c r="D486" s="317"/>
      <c r="E486" s="317"/>
      <c r="F486" s="317"/>
      <c r="G486" s="317"/>
    </row>
    <row r="487" spans="1:7" ht="18">
      <c r="A487" s="317"/>
      <c r="B487" s="317"/>
      <c r="C487" s="317"/>
      <c r="D487" s="317"/>
      <c r="E487" s="317"/>
      <c r="F487" s="317"/>
      <c r="G487" s="317"/>
    </row>
    <row r="488" spans="1:7" ht="18">
      <c r="A488" s="317"/>
      <c r="B488" s="317"/>
      <c r="C488" s="317"/>
      <c r="D488" s="317"/>
      <c r="E488" s="317"/>
      <c r="F488" s="317"/>
      <c r="G488" s="317"/>
    </row>
    <row r="489" spans="1:7" ht="18">
      <c r="A489" s="317"/>
      <c r="B489" s="317"/>
      <c r="C489" s="317"/>
      <c r="D489" s="317"/>
      <c r="E489" s="317"/>
      <c r="F489" s="317"/>
      <c r="G489" s="317"/>
    </row>
    <row r="490" spans="1:7" ht="18">
      <c r="A490" s="317"/>
      <c r="B490" s="317"/>
      <c r="C490" s="317"/>
      <c r="D490" s="317"/>
      <c r="E490" s="317"/>
      <c r="F490" s="317"/>
      <c r="G490" s="317"/>
    </row>
    <row r="491" spans="1:7" ht="18">
      <c r="A491" s="317"/>
      <c r="B491" s="317"/>
      <c r="C491" s="317"/>
      <c r="D491" s="317"/>
      <c r="E491" s="317"/>
      <c r="F491" s="317"/>
      <c r="G491" s="317"/>
    </row>
    <row r="492" spans="1:7" ht="18">
      <c r="A492" s="317"/>
      <c r="B492" s="317"/>
      <c r="C492" s="317"/>
      <c r="D492" s="317"/>
      <c r="E492" s="317"/>
      <c r="F492" s="317"/>
      <c r="G492" s="317"/>
    </row>
    <row r="493" spans="1:7" ht="18">
      <c r="A493" s="317"/>
      <c r="B493" s="317"/>
      <c r="C493" s="317"/>
      <c r="D493" s="317"/>
      <c r="E493" s="317"/>
      <c r="F493" s="317"/>
      <c r="G493" s="317"/>
    </row>
    <row r="494" spans="1:7" ht="18">
      <c r="A494" s="317"/>
      <c r="B494" s="317"/>
      <c r="C494" s="317"/>
      <c r="D494" s="317"/>
      <c r="E494" s="317"/>
      <c r="F494" s="317"/>
      <c r="G494" s="317"/>
    </row>
    <row r="495" spans="1:7" ht="18">
      <c r="A495" s="317"/>
      <c r="B495" s="317"/>
      <c r="C495" s="317"/>
      <c r="D495" s="317"/>
      <c r="E495" s="317"/>
      <c r="F495" s="317"/>
      <c r="G495" s="317"/>
    </row>
    <row r="496" spans="1:7" ht="18">
      <c r="A496" s="317"/>
      <c r="B496" s="317"/>
      <c r="C496" s="317"/>
      <c r="D496" s="317"/>
      <c r="E496" s="317"/>
      <c r="F496" s="317"/>
      <c r="G496" s="317"/>
    </row>
    <row r="497" spans="1:7" ht="18">
      <c r="A497" s="317"/>
      <c r="B497" s="317"/>
      <c r="C497" s="317"/>
      <c r="D497" s="317"/>
      <c r="E497" s="317"/>
      <c r="F497" s="317"/>
      <c r="G497" s="317"/>
    </row>
    <row r="498" spans="1:7" ht="18">
      <c r="A498" s="317"/>
      <c r="B498" s="317"/>
      <c r="C498" s="317"/>
      <c r="D498" s="317"/>
      <c r="E498" s="317"/>
      <c r="F498" s="317"/>
      <c r="G498" s="317"/>
    </row>
    <row r="499" spans="1:7" ht="18">
      <c r="A499" s="317"/>
      <c r="B499" s="317"/>
      <c r="C499" s="317"/>
      <c r="D499" s="317"/>
      <c r="E499" s="317"/>
      <c r="F499" s="317"/>
      <c r="G499" s="317"/>
    </row>
    <row r="500" spans="1:7" ht="18">
      <c r="A500" s="317"/>
      <c r="B500" s="317"/>
      <c r="C500" s="317"/>
      <c r="D500" s="317"/>
      <c r="E500" s="317"/>
      <c r="F500" s="317"/>
      <c r="G500" s="317"/>
    </row>
    <row r="501" spans="1:7" ht="18">
      <c r="A501" s="317"/>
      <c r="B501" s="317"/>
      <c r="C501" s="317"/>
      <c r="D501" s="317"/>
      <c r="E501" s="317"/>
      <c r="F501" s="317"/>
      <c r="G501" s="317"/>
    </row>
    <row r="502" spans="1:7" ht="18">
      <c r="A502" s="317"/>
      <c r="B502" s="317"/>
      <c r="C502" s="317"/>
      <c r="D502" s="317"/>
      <c r="E502" s="317"/>
      <c r="F502" s="317"/>
      <c r="G502" s="317"/>
    </row>
    <row r="503" spans="1:7" ht="18">
      <c r="A503" s="317"/>
      <c r="B503" s="317"/>
      <c r="C503" s="317"/>
      <c r="D503" s="317"/>
      <c r="E503" s="317"/>
      <c r="F503" s="317"/>
      <c r="G503" s="317"/>
    </row>
    <row r="504" spans="1:7" ht="18">
      <c r="A504" s="317"/>
      <c r="B504" s="317"/>
      <c r="C504" s="317"/>
      <c r="D504" s="317"/>
      <c r="E504" s="317"/>
      <c r="F504" s="317"/>
      <c r="G504" s="317"/>
    </row>
    <row r="505" spans="1:7" ht="18">
      <c r="A505" s="317"/>
      <c r="B505" s="317"/>
      <c r="C505" s="317"/>
      <c r="D505" s="317"/>
      <c r="E505" s="317"/>
      <c r="F505" s="317"/>
      <c r="G505" s="317"/>
    </row>
    <row r="506" spans="1:7" ht="18">
      <c r="A506" s="317"/>
      <c r="B506" s="317"/>
      <c r="C506" s="317"/>
      <c r="D506" s="317"/>
      <c r="E506" s="317"/>
      <c r="F506" s="317"/>
      <c r="G506" s="317"/>
    </row>
    <row r="507" spans="1:7" ht="18">
      <c r="A507" s="317"/>
      <c r="B507" s="317"/>
      <c r="C507" s="317"/>
      <c r="D507" s="317"/>
      <c r="E507" s="317"/>
      <c r="F507" s="317"/>
      <c r="G507" s="317"/>
    </row>
    <row r="508" spans="1:7" ht="18">
      <c r="A508" s="317"/>
      <c r="B508" s="317"/>
      <c r="C508" s="317"/>
      <c r="D508" s="317"/>
      <c r="E508" s="317"/>
      <c r="F508" s="317"/>
      <c r="G508" s="317"/>
    </row>
    <row r="509" spans="1:7" ht="18">
      <c r="A509" s="317"/>
      <c r="B509" s="317"/>
      <c r="C509" s="317"/>
      <c r="D509" s="317"/>
      <c r="E509" s="317"/>
      <c r="F509" s="317"/>
      <c r="G509" s="317"/>
    </row>
    <row r="510" spans="1:7" ht="18">
      <c r="A510" s="317"/>
      <c r="B510" s="317"/>
      <c r="C510" s="317"/>
      <c r="D510" s="317"/>
      <c r="E510" s="317"/>
      <c r="F510" s="317"/>
      <c r="G510" s="317"/>
    </row>
    <row r="511" spans="1:7" ht="18">
      <c r="A511" s="317"/>
      <c r="B511" s="317"/>
      <c r="C511" s="317"/>
      <c r="D511" s="317"/>
      <c r="E511" s="317"/>
      <c r="F511" s="317"/>
      <c r="G511" s="317"/>
    </row>
    <row r="512" spans="1:7" ht="18">
      <c r="A512" s="317"/>
      <c r="B512" s="317"/>
      <c r="C512" s="317"/>
      <c r="D512" s="317"/>
      <c r="E512" s="317"/>
      <c r="F512" s="317"/>
      <c r="G512" s="317"/>
    </row>
    <row r="513" spans="1:7" ht="18">
      <c r="A513" s="317"/>
      <c r="B513" s="317"/>
      <c r="C513" s="317"/>
      <c r="D513" s="317"/>
      <c r="E513" s="317"/>
      <c r="F513" s="317"/>
      <c r="G513" s="317"/>
    </row>
    <row r="514" spans="1:7" ht="18">
      <c r="A514" s="317"/>
      <c r="B514" s="317"/>
      <c r="C514" s="317"/>
      <c r="D514" s="317"/>
      <c r="E514" s="317"/>
      <c r="F514" s="317"/>
      <c r="G514" s="317"/>
    </row>
    <row r="515" spans="1:7" ht="18">
      <c r="A515" s="317"/>
      <c r="B515" s="317"/>
      <c r="C515" s="317"/>
      <c r="D515" s="317"/>
      <c r="E515" s="317"/>
      <c r="F515" s="317"/>
      <c r="G515" s="317"/>
    </row>
    <row r="516" spans="1:7" ht="18">
      <c r="A516" s="317"/>
      <c r="B516" s="317"/>
      <c r="C516" s="317"/>
      <c r="D516" s="317"/>
      <c r="E516" s="317"/>
      <c r="F516" s="317"/>
      <c r="G516" s="317"/>
    </row>
    <row r="517" spans="1:7" ht="18">
      <c r="A517" s="317"/>
      <c r="B517" s="317"/>
      <c r="C517" s="317"/>
      <c r="D517" s="317"/>
      <c r="E517" s="317"/>
      <c r="F517" s="317"/>
      <c r="G517" s="317"/>
    </row>
    <row r="518" spans="1:7" ht="18">
      <c r="A518" s="317"/>
      <c r="B518" s="317"/>
      <c r="C518" s="317"/>
      <c r="D518" s="317"/>
      <c r="E518" s="317"/>
      <c r="F518" s="317"/>
      <c r="G518" s="317"/>
    </row>
    <row r="519" spans="1:7" ht="18">
      <c r="A519" s="317"/>
      <c r="B519" s="317"/>
      <c r="C519" s="317"/>
      <c r="D519" s="317"/>
      <c r="E519" s="317"/>
      <c r="F519" s="317"/>
      <c r="G519" s="317"/>
    </row>
    <row r="520" spans="1:7" ht="18">
      <c r="A520" s="317"/>
      <c r="B520" s="317"/>
      <c r="C520" s="317"/>
      <c r="D520" s="317"/>
      <c r="E520" s="317"/>
      <c r="F520" s="317"/>
      <c r="G520" s="317"/>
    </row>
    <row r="521" spans="1:7" ht="18">
      <c r="A521" s="317"/>
      <c r="B521" s="317"/>
      <c r="C521" s="317"/>
      <c r="D521" s="317"/>
      <c r="E521" s="317"/>
      <c r="F521" s="317"/>
      <c r="G521" s="317"/>
    </row>
    <row r="522" spans="1:7" ht="18">
      <c r="A522" s="317"/>
      <c r="B522" s="317"/>
      <c r="C522" s="317"/>
      <c r="D522" s="317"/>
      <c r="E522" s="317"/>
      <c r="F522" s="317"/>
      <c r="G522" s="317"/>
    </row>
    <row r="523" spans="1:7" ht="18">
      <c r="A523" s="317"/>
      <c r="B523" s="317"/>
      <c r="C523" s="317"/>
      <c r="D523" s="317"/>
      <c r="E523" s="317"/>
      <c r="F523" s="317"/>
      <c r="G523" s="317"/>
    </row>
    <row r="524" spans="1:7" ht="18">
      <c r="A524" s="317"/>
      <c r="B524" s="317"/>
      <c r="C524" s="317"/>
      <c r="D524" s="317"/>
      <c r="E524" s="317"/>
      <c r="F524" s="317"/>
      <c r="G524" s="317"/>
    </row>
    <row r="525" spans="1:7" ht="18">
      <c r="A525" s="317"/>
      <c r="B525" s="317"/>
      <c r="C525" s="317"/>
      <c r="D525" s="317"/>
      <c r="E525" s="317"/>
      <c r="F525" s="317"/>
      <c r="G525" s="317"/>
    </row>
    <row r="526" spans="1:7" ht="18">
      <c r="A526" s="317"/>
      <c r="B526" s="317"/>
      <c r="C526" s="317"/>
      <c r="D526" s="317"/>
      <c r="E526" s="317"/>
      <c r="F526" s="317"/>
      <c r="G526" s="317"/>
    </row>
    <row r="527" spans="1:7" ht="18">
      <c r="A527" s="317"/>
      <c r="B527" s="317"/>
      <c r="C527" s="317"/>
      <c r="D527" s="317"/>
      <c r="E527" s="317"/>
      <c r="F527" s="317"/>
      <c r="G527" s="317"/>
    </row>
    <row r="528" spans="1:7" ht="18">
      <c r="A528" s="317"/>
      <c r="B528" s="317"/>
      <c r="C528" s="317"/>
      <c r="D528" s="317"/>
      <c r="E528" s="317"/>
      <c r="F528" s="317"/>
      <c r="G528" s="317"/>
    </row>
    <row r="529" spans="1:7" ht="18">
      <c r="A529" s="317"/>
      <c r="B529" s="317"/>
      <c r="C529" s="317"/>
      <c r="D529" s="317"/>
      <c r="E529" s="317"/>
      <c r="F529" s="317"/>
      <c r="G529" s="317"/>
    </row>
    <row r="530" spans="1:7" ht="18">
      <c r="A530" s="317"/>
      <c r="B530" s="317"/>
      <c r="C530" s="317"/>
      <c r="D530" s="317"/>
      <c r="E530" s="317"/>
      <c r="F530" s="317"/>
      <c r="G530" s="317"/>
    </row>
    <row r="531" spans="1:7" ht="18">
      <c r="A531" s="317"/>
      <c r="B531" s="317"/>
      <c r="C531" s="317"/>
      <c r="D531" s="317"/>
      <c r="E531" s="317"/>
      <c r="F531" s="317"/>
      <c r="G531" s="317"/>
    </row>
    <row r="532" spans="1:7" ht="18">
      <c r="A532" s="317"/>
      <c r="B532" s="317"/>
      <c r="C532" s="317"/>
      <c r="D532" s="317"/>
      <c r="E532" s="317"/>
      <c r="F532" s="317"/>
      <c r="G532" s="317"/>
    </row>
    <row r="533" spans="1:7" ht="18">
      <c r="A533" s="317"/>
      <c r="B533" s="317"/>
      <c r="C533" s="317"/>
      <c r="D533" s="317"/>
      <c r="E533" s="317"/>
      <c r="F533" s="317"/>
      <c r="G533" s="317"/>
    </row>
    <row r="534" spans="1:7" ht="18">
      <c r="A534" s="317"/>
      <c r="B534" s="317"/>
      <c r="C534" s="317"/>
      <c r="D534" s="317"/>
      <c r="E534" s="317"/>
      <c r="F534" s="317"/>
      <c r="G534" s="317"/>
    </row>
    <row r="535" spans="1:7" ht="18">
      <c r="A535" s="317"/>
      <c r="B535" s="317"/>
      <c r="C535" s="317"/>
      <c r="D535" s="317"/>
      <c r="E535" s="317"/>
      <c r="F535" s="317"/>
      <c r="G535" s="317"/>
    </row>
    <row r="536" spans="1:7" ht="18">
      <c r="A536" s="317"/>
      <c r="B536" s="317"/>
      <c r="C536" s="317"/>
      <c r="D536" s="317"/>
      <c r="E536" s="317"/>
      <c r="F536" s="317"/>
      <c r="G536" s="317"/>
    </row>
    <row r="537" spans="1:7" ht="18">
      <c r="A537" s="317"/>
      <c r="B537" s="317"/>
      <c r="C537" s="317"/>
      <c r="D537" s="317"/>
      <c r="E537" s="317"/>
      <c r="F537" s="317"/>
      <c r="G537" s="317"/>
    </row>
    <row r="538" spans="1:7" ht="18">
      <c r="A538" s="317"/>
      <c r="B538" s="317"/>
      <c r="C538" s="317"/>
      <c r="D538" s="317"/>
      <c r="E538" s="317"/>
      <c r="F538" s="317"/>
      <c r="G538" s="317"/>
    </row>
    <row r="539" spans="1:7" ht="18">
      <c r="A539" s="317"/>
      <c r="B539" s="317"/>
      <c r="C539" s="317"/>
      <c r="D539" s="317"/>
      <c r="E539" s="317"/>
      <c r="F539" s="317"/>
      <c r="G539" s="317"/>
    </row>
    <row r="540" spans="1:7" ht="18">
      <c r="A540" s="317"/>
      <c r="B540" s="317"/>
      <c r="C540" s="317"/>
      <c r="D540" s="317"/>
      <c r="E540" s="317"/>
      <c r="F540" s="317"/>
      <c r="G540" s="317"/>
    </row>
    <row r="541" spans="1:7" ht="18">
      <c r="A541" s="317"/>
      <c r="B541" s="317"/>
      <c r="C541" s="317"/>
      <c r="D541" s="317"/>
      <c r="E541" s="317"/>
      <c r="F541" s="317"/>
      <c r="G541" s="317"/>
    </row>
    <row r="542" spans="1:7" ht="18">
      <c r="A542" s="317"/>
      <c r="B542" s="317"/>
      <c r="C542" s="317"/>
      <c r="D542" s="317"/>
      <c r="E542" s="317"/>
      <c r="F542" s="317"/>
      <c r="G542" s="317"/>
    </row>
    <row r="543" spans="1:7" ht="18">
      <c r="A543" s="317"/>
      <c r="B543" s="317"/>
      <c r="C543" s="317"/>
      <c r="D543" s="317"/>
      <c r="E543" s="317"/>
      <c r="F543" s="317"/>
      <c r="G543" s="317"/>
    </row>
    <row r="544" spans="1:7" ht="18">
      <c r="A544" s="317"/>
      <c r="B544" s="317"/>
      <c r="C544" s="317"/>
      <c r="D544" s="317"/>
      <c r="E544" s="317"/>
      <c r="F544" s="317"/>
      <c r="G544" s="317"/>
    </row>
    <row r="545" spans="1:7" ht="18">
      <c r="A545" s="317"/>
      <c r="B545" s="317"/>
      <c r="C545" s="317"/>
      <c r="D545" s="317"/>
      <c r="E545" s="317"/>
      <c r="F545" s="317"/>
      <c r="G545" s="317"/>
    </row>
    <row r="546" spans="1:7" ht="18">
      <c r="A546" s="317"/>
      <c r="B546" s="317"/>
      <c r="C546" s="317"/>
      <c r="D546" s="317"/>
      <c r="E546" s="317"/>
      <c r="F546" s="317"/>
      <c r="G546" s="317"/>
    </row>
    <row r="547" spans="1:7" ht="18">
      <c r="A547" s="317"/>
      <c r="B547" s="317"/>
      <c r="C547" s="317"/>
      <c r="D547" s="317"/>
      <c r="E547" s="317"/>
      <c r="F547" s="317"/>
      <c r="G547" s="317"/>
    </row>
    <row r="548" spans="1:7" ht="18">
      <c r="A548" s="317"/>
      <c r="B548" s="317"/>
      <c r="C548" s="317"/>
      <c r="D548" s="317"/>
      <c r="E548" s="317"/>
      <c r="F548" s="317"/>
      <c r="G548" s="317"/>
    </row>
    <row r="549" spans="1:7" ht="18">
      <c r="A549" s="317"/>
      <c r="B549" s="317"/>
      <c r="C549" s="317"/>
      <c r="D549" s="317"/>
      <c r="E549" s="317"/>
      <c r="F549" s="317"/>
      <c r="G549" s="317"/>
    </row>
    <row r="550" spans="1:7" ht="18">
      <c r="A550" s="317"/>
      <c r="B550" s="317"/>
      <c r="C550" s="317"/>
      <c r="D550" s="317"/>
      <c r="E550" s="317"/>
      <c r="F550" s="317"/>
      <c r="G550" s="317"/>
    </row>
    <row r="551" spans="1:7" ht="18">
      <c r="A551" s="317"/>
      <c r="B551" s="317"/>
      <c r="C551" s="317"/>
      <c r="D551" s="317"/>
      <c r="E551" s="317"/>
      <c r="F551" s="317"/>
      <c r="G551" s="317"/>
    </row>
    <row r="552" spans="1:7" ht="18">
      <c r="A552" s="317"/>
      <c r="B552" s="317"/>
      <c r="C552" s="317"/>
      <c r="D552" s="317"/>
      <c r="E552" s="317"/>
      <c r="F552" s="317"/>
      <c r="G552" s="317"/>
    </row>
    <row r="553" spans="1:7" ht="18">
      <c r="A553" s="317"/>
      <c r="B553" s="317"/>
      <c r="C553" s="317"/>
      <c r="D553" s="317"/>
      <c r="E553" s="317"/>
      <c r="F553" s="317"/>
      <c r="G553" s="317"/>
    </row>
    <row r="554" spans="1:7" ht="18">
      <c r="A554" s="317"/>
      <c r="B554" s="317"/>
      <c r="C554" s="317"/>
      <c r="D554" s="317"/>
      <c r="E554" s="317"/>
      <c r="F554" s="317"/>
      <c r="G554" s="317"/>
    </row>
    <row r="555" spans="1:7" ht="18">
      <c r="A555" s="317"/>
      <c r="B555" s="317"/>
      <c r="C555" s="317"/>
      <c r="D555" s="317"/>
      <c r="E555" s="317"/>
      <c r="F555" s="317"/>
      <c r="G555" s="317"/>
    </row>
    <row r="556" spans="1:7" ht="18">
      <c r="A556" s="317"/>
      <c r="B556" s="317"/>
      <c r="C556" s="317"/>
      <c r="D556" s="317"/>
      <c r="E556" s="317"/>
      <c r="F556" s="317"/>
      <c r="G556" s="317"/>
    </row>
    <row r="557" spans="1:7" ht="18">
      <c r="A557" s="317"/>
      <c r="B557" s="317"/>
      <c r="C557" s="317"/>
      <c r="D557" s="317"/>
      <c r="E557" s="317"/>
      <c r="F557" s="317"/>
      <c r="G557" s="317"/>
    </row>
    <row r="558" spans="1:7" ht="18">
      <c r="A558" s="317"/>
      <c r="B558" s="317"/>
      <c r="C558" s="317"/>
      <c r="D558" s="317"/>
      <c r="E558" s="317"/>
      <c r="F558" s="317"/>
      <c r="G558" s="317"/>
    </row>
    <row r="559" spans="1:7" ht="18">
      <c r="A559" s="317"/>
      <c r="B559" s="317"/>
      <c r="C559" s="317"/>
      <c r="D559" s="317"/>
      <c r="E559" s="317"/>
      <c r="F559" s="317"/>
      <c r="G559" s="317"/>
    </row>
    <row r="560" spans="1:7" ht="18">
      <c r="A560" s="317"/>
      <c r="B560" s="317"/>
      <c r="C560" s="317"/>
      <c r="D560" s="317"/>
      <c r="E560" s="317"/>
      <c r="F560" s="317"/>
      <c r="G560" s="317"/>
    </row>
    <row r="561" spans="1:7" ht="18">
      <c r="A561" s="317"/>
      <c r="B561" s="317"/>
      <c r="C561" s="317"/>
      <c r="D561" s="317"/>
      <c r="E561" s="317"/>
      <c r="F561" s="317"/>
      <c r="G561" s="317"/>
    </row>
    <row r="562" spans="1:7" ht="18">
      <c r="A562" s="317"/>
      <c r="B562" s="317"/>
      <c r="C562" s="317"/>
      <c r="D562" s="317"/>
      <c r="E562" s="317"/>
      <c r="F562" s="317"/>
      <c r="G562" s="317"/>
    </row>
    <row r="563" spans="1:7" ht="18">
      <c r="A563" s="317"/>
      <c r="B563" s="317"/>
      <c r="C563" s="317"/>
      <c r="D563" s="317"/>
      <c r="E563" s="317"/>
      <c r="F563" s="317"/>
      <c r="G563" s="317"/>
    </row>
    <row r="564" spans="1:7" ht="18">
      <c r="A564" s="317"/>
      <c r="B564" s="317"/>
      <c r="C564" s="317"/>
      <c r="D564" s="317"/>
      <c r="E564" s="317"/>
      <c r="F564" s="317"/>
      <c r="G564" s="317"/>
    </row>
    <row r="565" spans="1:7" ht="18">
      <c r="A565" s="317"/>
      <c r="B565" s="317"/>
      <c r="C565" s="317"/>
      <c r="D565" s="317"/>
      <c r="E565" s="317"/>
      <c r="F565" s="317"/>
      <c r="G565" s="317"/>
    </row>
    <row r="566" spans="1:7" ht="18">
      <c r="A566" s="317"/>
      <c r="B566" s="317"/>
      <c r="C566" s="317"/>
      <c r="D566" s="317"/>
      <c r="E566" s="317"/>
      <c r="F566" s="317"/>
      <c r="G566" s="317"/>
    </row>
    <row r="567" spans="1:7" ht="18">
      <c r="A567" s="317"/>
      <c r="B567" s="317"/>
      <c r="C567" s="317"/>
      <c r="D567" s="317"/>
      <c r="E567" s="317"/>
      <c r="F567" s="317"/>
      <c r="G567" s="317"/>
    </row>
    <row r="568" spans="1:7" ht="18">
      <c r="A568" s="317"/>
      <c r="B568" s="317"/>
      <c r="C568" s="317"/>
      <c r="D568" s="317"/>
      <c r="E568" s="317"/>
      <c r="F568" s="317"/>
      <c r="G568" s="317"/>
    </row>
    <row r="569" spans="1:7" ht="18">
      <c r="A569" s="317"/>
      <c r="B569" s="317"/>
      <c r="C569" s="317"/>
      <c r="D569" s="317"/>
      <c r="E569" s="317"/>
      <c r="F569" s="317"/>
      <c r="G569" s="317"/>
    </row>
    <row r="570" spans="1:7" ht="18">
      <c r="A570" s="317"/>
      <c r="B570" s="317"/>
      <c r="C570" s="317"/>
      <c r="D570" s="317"/>
      <c r="E570" s="317"/>
      <c r="F570" s="317"/>
      <c r="G570" s="317"/>
    </row>
    <row r="571" spans="1:7" ht="18">
      <c r="A571" s="317"/>
      <c r="B571" s="317"/>
      <c r="C571" s="317"/>
      <c r="D571" s="317"/>
      <c r="E571" s="317"/>
      <c r="F571" s="317"/>
      <c r="G571" s="317"/>
    </row>
    <row r="572" spans="1:7" ht="18">
      <c r="A572" s="317"/>
      <c r="B572" s="317"/>
      <c r="C572" s="317"/>
      <c r="D572" s="317"/>
      <c r="E572" s="317"/>
      <c r="F572" s="317"/>
      <c r="G572" s="317"/>
    </row>
    <row r="573" spans="1:7" ht="18">
      <c r="A573" s="317"/>
      <c r="B573" s="317"/>
      <c r="C573" s="317"/>
      <c r="D573" s="317"/>
      <c r="E573" s="317"/>
      <c r="F573" s="317"/>
      <c r="G573" s="317"/>
    </row>
    <row r="574" spans="1:7" ht="18">
      <c r="A574" s="317"/>
      <c r="B574" s="317"/>
      <c r="C574" s="317"/>
      <c r="D574" s="317"/>
      <c r="E574" s="317"/>
      <c r="F574" s="317"/>
      <c r="G574" s="317"/>
    </row>
    <row r="575" spans="1:7" ht="18">
      <c r="A575" s="317"/>
      <c r="B575" s="317"/>
      <c r="C575" s="317"/>
      <c r="D575" s="317"/>
      <c r="E575" s="317"/>
      <c r="F575" s="317"/>
      <c r="G575" s="317"/>
    </row>
    <row r="576" spans="1:7" ht="18">
      <c r="A576" s="317"/>
      <c r="B576" s="317"/>
      <c r="C576" s="317"/>
      <c r="D576" s="317"/>
      <c r="E576" s="317"/>
      <c r="F576" s="317"/>
      <c r="G576" s="317"/>
    </row>
    <row r="577" spans="1:7" ht="18">
      <c r="A577" s="317"/>
      <c r="B577" s="317"/>
      <c r="C577" s="317"/>
      <c r="D577" s="317"/>
      <c r="E577" s="317"/>
      <c r="F577" s="317"/>
      <c r="G577" s="317"/>
    </row>
    <row r="578" spans="1:7" ht="18">
      <c r="A578" s="317"/>
      <c r="B578" s="317"/>
      <c r="C578" s="317"/>
      <c r="D578" s="317"/>
      <c r="E578" s="317"/>
      <c r="F578" s="317"/>
      <c r="G578" s="317"/>
    </row>
    <row r="579" spans="1:7" ht="18">
      <c r="A579" s="317"/>
      <c r="B579" s="317"/>
      <c r="C579" s="317"/>
      <c r="D579" s="317"/>
      <c r="E579" s="317"/>
      <c r="F579" s="317"/>
      <c r="G579" s="317"/>
    </row>
    <row r="580" spans="1:7" ht="18">
      <c r="A580" s="317"/>
      <c r="B580" s="317"/>
      <c r="C580" s="317"/>
      <c r="D580" s="317"/>
      <c r="E580" s="317"/>
      <c r="F580" s="317"/>
      <c r="G580" s="317"/>
    </row>
    <row r="581" spans="1:7" ht="18">
      <c r="A581" s="317"/>
      <c r="B581" s="317"/>
      <c r="C581" s="317"/>
      <c r="D581" s="317"/>
      <c r="E581" s="317"/>
      <c r="F581" s="317"/>
      <c r="G581" s="317"/>
    </row>
    <row r="582" spans="1:7" ht="18">
      <c r="A582" s="317"/>
      <c r="B582" s="317"/>
      <c r="C582" s="317"/>
      <c r="D582" s="317"/>
      <c r="E582" s="317"/>
      <c r="F582" s="317"/>
      <c r="G582" s="317"/>
    </row>
    <row r="583" spans="1:7" ht="18">
      <c r="A583" s="317"/>
      <c r="B583" s="317"/>
      <c r="C583" s="317"/>
      <c r="D583" s="317"/>
      <c r="E583" s="317"/>
      <c r="F583" s="317"/>
      <c r="G583" s="317"/>
    </row>
    <row r="584" spans="1:7" ht="18">
      <c r="A584" s="317"/>
      <c r="B584" s="317"/>
      <c r="C584" s="317"/>
      <c r="D584" s="317"/>
      <c r="E584" s="317"/>
      <c r="F584" s="317"/>
      <c r="G584" s="317"/>
    </row>
    <row r="585" spans="1:7" ht="18">
      <c r="A585" s="317"/>
      <c r="B585" s="317"/>
      <c r="C585" s="317"/>
      <c r="D585" s="317"/>
      <c r="E585" s="317"/>
      <c r="F585" s="317"/>
      <c r="G585" s="317"/>
    </row>
    <row r="586" spans="1:7" ht="18">
      <c r="A586" s="317"/>
      <c r="B586" s="317"/>
      <c r="C586" s="317"/>
      <c r="D586" s="317"/>
      <c r="E586" s="317"/>
      <c r="F586" s="317"/>
      <c r="G586" s="317"/>
    </row>
    <row r="587" spans="1:7" ht="18">
      <c r="A587" s="317"/>
      <c r="B587" s="317"/>
      <c r="C587" s="317"/>
      <c r="D587" s="317"/>
      <c r="E587" s="317"/>
      <c r="F587" s="317"/>
      <c r="G587" s="317"/>
    </row>
    <row r="588" spans="1:7" ht="18">
      <c r="A588" s="317"/>
      <c r="B588" s="317"/>
      <c r="C588" s="317"/>
      <c r="D588" s="317"/>
      <c r="E588" s="317"/>
      <c r="F588" s="317"/>
      <c r="G588" s="317"/>
    </row>
    <row r="589" spans="1:7" ht="18">
      <c r="A589" s="317"/>
      <c r="B589" s="317"/>
      <c r="C589" s="317"/>
      <c r="D589" s="317"/>
      <c r="E589" s="317"/>
      <c r="F589" s="317"/>
      <c r="G589" s="317"/>
    </row>
    <row r="590" spans="1:7" ht="18">
      <c r="A590" s="317"/>
      <c r="B590" s="317"/>
      <c r="C590" s="317"/>
      <c r="D590" s="317"/>
      <c r="E590" s="317"/>
      <c r="F590" s="317"/>
      <c r="G590" s="317"/>
    </row>
    <row r="591" spans="1:7" ht="18">
      <c r="A591" s="317"/>
      <c r="B591" s="317"/>
      <c r="C591" s="317"/>
      <c r="D591" s="317"/>
      <c r="E591" s="317"/>
      <c r="F591" s="317"/>
      <c r="G591" s="317"/>
    </row>
    <row r="592" spans="1:7" ht="18">
      <c r="A592" s="317"/>
      <c r="B592" s="317"/>
      <c r="C592" s="317"/>
      <c r="D592" s="317"/>
      <c r="E592" s="317"/>
      <c r="F592" s="317"/>
      <c r="G592" s="317"/>
    </row>
    <row r="593" spans="1:7" ht="18">
      <c r="A593" s="317"/>
      <c r="B593" s="317"/>
      <c r="C593" s="317"/>
      <c r="D593" s="317"/>
      <c r="E593" s="317"/>
      <c r="F593" s="317"/>
      <c r="G593" s="317"/>
    </row>
    <row r="594" spans="1:7" ht="18">
      <c r="A594" s="317"/>
      <c r="B594" s="317"/>
      <c r="C594" s="317"/>
      <c r="D594" s="317"/>
      <c r="E594" s="317"/>
      <c r="F594" s="317"/>
      <c r="G594" s="317"/>
    </row>
    <row r="595" spans="1:7" ht="18">
      <c r="A595" s="317"/>
      <c r="B595" s="317"/>
      <c r="C595" s="317"/>
      <c r="D595" s="317"/>
      <c r="E595" s="317"/>
      <c r="F595" s="317"/>
      <c r="G595" s="317"/>
    </row>
    <row r="596" spans="1:7" ht="18">
      <c r="A596" s="317"/>
      <c r="B596" s="317"/>
      <c r="C596" s="317"/>
      <c r="D596" s="317"/>
      <c r="E596" s="317"/>
      <c r="F596" s="317"/>
      <c r="G596" s="317"/>
    </row>
    <row r="597" spans="1:7" ht="18">
      <c r="A597" s="317"/>
      <c r="B597" s="317"/>
      <c r="C597" s="317"/>
      <c r="D597" s="317"/>
      <c r="E597" s="317"/>
      <c r="F597" s="317"/>
      <c r="G597" s="317"/>
    </row>
    <row r="598" spans="1:7" ht="18">
      <c r="A598" s="317"/>
      <c r="B598" s="317"/>
      <c r="C598" s="317"/>
      <c r="D598" s="317"/>
      <c r="E598" s="317"/>
      <c r="F598" s="317"/>
      <c r="G598" s="317"/>
    </row>
    <row r="599" spans="1:7" ht="18">
      <c r="A599" s="317"/>
      <c r="B599" s="317"/>
      <c r="C599" s="317"/>
      <c r="D599" s="317"/>
      <c r="E599" s="317"/>
      <c r="F599" s="317"/>
      <c r="G599" s="317"/>
    </row>
    <row r="600" spans="1:7" ht="18">
      <c r="A600" s="317"/>
      <c r="B600" s="317"/>
      <c r="C600" s="317"/>
      <c r="D600" s="317"/>
      <c r="E600" s="317"/>
      <c r="F600" s="317"/>
      <c r="G600" s="317"/>
    </row>
    <row r="601" spans="1:7" ht="18">
      <c r="A601" s="317"/>
      <c r="B601" s="317"/>
      <c r="C601" s="317"/>
      <c r="D601" s="317"/>
      <c r="E601" s="317"/>
      <c r="F601" s="317"/>
      <c r="G601" s="317"/>
    </row>
    <row r="602" spans="1:7" ht="18">
      <c r="A602" s="317"/>
      <c r="B602" s="317"/>
      <c r="C602" s="317"/>
      <c r="D602" s="317"/>
      <c r="E602" s="317"/>
      <c r="F602" s="317"/>
      <c r="G602" s="317"/>
    </row>
    <row r="603" spans="1:7" ht="18">
      <c r="A603" s="317"/>
      <c r="B603" s="317"/>
      <c r="C603" s="317"/>
      <c r="D603" s="317"/>
      <c r="E603" s="317"/>
      <c r="F603" s="317"/>
      <c r="G603" s="317"/>
    </row>
    <row r="604" spans="1:7" ht="18">
      <c r="A604" s="317"/>
      <c r="B604" s="317"/>
      <c r="C604" s="317"/>
      <c r="D604" s="317"/>
      <c r="E604" s="317"/>
      <c r="F604" s="317"/>
      <c r="G604" s="317"/>
    </row>
    <row r="605" spans="1:7" ht="18">
      <c r="A605" s="317"/>
      <c r="B605" s="317"/>
      <c r="C605" s="317"/>
      <c r="D605" s="317"/>
      <c r="E605" s="317"/>
      <c r="F605" s="317"/>
      <c r="G605" s="317"/>
    </row>
    <row r="606" spans="1:7" ht="18">
      <c r="A606" s="317"/>
      <c r="B606" s="317"/>
      <c r="C606" s="317"/>
      <c r="D606" s="317"/>
      <c r="E606" s="317"/>
      <c r="F606" s="317"/>
      <c r="G606" s="317"/>
    </row>
    <row r="607" spans="1:7" ht="18">
      <c r="A607" s="317"/>
      <c r="B607" s="317"/>
      <c r="C607" s="317"/>
      <c r="D607" s="317"/>
      <c r="E607" s="317"/>
      <c r="F607" s="317"/>
      <c r="G607" s="317"/>
    </row>
    <row r="608" spans="1:7" ht="18">
      <c r="A608" s="317"/>
      <c r="B608" s="317"/>
      <c r="C608" s="317"/>
      <c r="D608" s="317"/>
      <c r="E608" s="317"/>
      <c r="F608" s="317"/>
      <c r="G608" s="317"/>
    </row>
    <row r="609" spans="1:7" ht="18">
      <c r="A609" s="317"/>
      <c r="B609" s="317"/>
      <c r="C609" s="317"/>
      <c r="D609" s="317"/>
      <c r="E609" s="317"/>
      <c r="F609" s="317"/>
      <c r="G609" s="317"/>
    </row>
    <row r="610" spans="1:7" ht="18">
      <c r="A610" s="317"/>
      <c r="B610" s="317"/>
      <c r="C610" s="317"/>
      <c r="D610" s="317"/>
      <c r="E610" s="317"/>
      <c r="F610" s="317"/>
      <c r="G610" s="317"/>
    </row>
    <row r="611" spans="1:7" ht="18">
      <c r="A611" s="317"/>
      <c r="B611" s="317"/>
      <c r="C611" s="317"/>
      <c r="D611" s="317"/>
      <c r="E611" s="317"/>
      <c r="F611" s="317"/>
      <c r="G611" s="317"/>
    </row>
    <row r="612" spans="1:7" ht="18">
      <c r="A612" s="317"/>
      <c r="B612" s="317"/>
      <c r="C612" s="317"/>
      <c r="D612" s="317"/>
      <c r="E612" s="317"/>
      <c r="F612" s="317"/>
      <c r="G612" s="317"/>
    </row>
    <row r="613" spans="1:7" ht="18">
      <c r="A613" s="317"/>
      <c r="B613" s="317"/>
      <c r="C613" s="317"/>
      <c r="D613" s="317"/>
      <c r="E613" s="317"/>
      <c r="F613" s="317"/>
      <c r="G613" s="317"/>
    </row>
    <row r="614" spans="1:7" ht="18">
      <c r="A614" s="317"/>
      <c r="B614" s="317"/>
      <c r="C614" s="317"/>
      <c r="D614" s="317"/>
      <c r="E614" s="317"/>
      <c r="F614" s="317"/>
      <c r="G614" s="317"/>
    </row>
    <row r="615" spans="1:7" ht="18">
      <c r="A615" s="317"/>
      <c r="B615" s="317"/>
      <c r="C615" s="317"/>
      <c r="D615" s="317"/>
      <c r="E615" s="317"/>
      <c r="F615" s="317"/>
      <c r="G615" s="317"/>
    </row>
    <row r="616" spans="1:7" ht="18">
      <c r="A616" s="317"/>
      <c r="B616" s="317"/>
      <c r="C616" s="317"/>
      <c r="D616" s="317"/>
      <c r="E616" s="317"/>
      <c r="F616" s="317"/>
      <c r="G616" s="317"/>
    </row>
    <row r="617" spans="1:7" ht="18">
      <c r="A617" s="317"/>
      <c r="B617" s="317"/>
      <c r="C617" s="317"/>
      <c r="D617" s="317"/>
      <c r="E617" s="317"/>
      <c r="F617" s="317"/>
      <c r="G617" s="317"/>
    </row>
    <row r="618" spans="1:7" ht="18">
      <c r="A618" s="317"/>
      <c r="B618" s="317"/>
      <c r="C618" s="317"/>
      <c r="D618" s="317"/>
      <c r="E618" s="317"/>
      <c r="F618" s="317"/>
      <c r="G618" s="317"/>
    </row>
    <row r="619" spans="1:7" ht="18">
      <c r="A619" s="317"/>
      <c r="B619" s="317"/>
      <c r="C619" s="317"/>
      <c r="D619" s="317"/>
      <c r="E619" s="317"/>
      <c r="F619" s="317"/>
      <c r="G619" s="317"/>
    </row>
    <row r="620" spans="1:7" ht="18">
      <c r="A620" s="317"/>
      <c r="B620" s="317"/>
      <c r="C620" s="317"/>
      <c r="D620" s="317"/>
      <c r="E620" s="317"/>
      <c r="F620" s="317"/>
      <c r="G620" s="317"/>
    </row>
    <row r="621" spans="1:7" ht="18">
      <c r="A621" s="317"/>
      <c r="B621" s="317"/>
      <c r="C621" s="317"/>
      <c r="D621" s="317"/>
      <c r="E621" s="317"/>
      <c r="F621" s="317"/>
      <c r="G621" s="317"/>
    </row>
    <row r="622" spans="1:7" ht="18">
      <c r="A622" s="317"/>
      <c r="B622" s="317"/>
      <c r="C622" s="317"/>
      <c r="D622" s="317"/>
      <c r="E622" s="317"/>
      <c r="F622" s="317"/>
      <c r="G622" s="317"/>
    </row>
    <row r="623" spans="1:7" ht="18">
      <c r="A623" s="317"/>
      <c r="B623" s="317"/>
      <c r="C623" s="317"/>
      <c r="D623" s="317"/>
      <c r="E623" s="317"/>
      <c r="F623" s="317"/>
      <c r="G623" s="317"/>
    </row>
    <row r="624" spans="1:7" ht="18">
      <c r="A624" s="317"/>
      <c r="B624" s="317"/>
      <c r="C624" s="317"/>
      <c r="D624" s="317"/>
      <c r="E624" s="317"/>
      <c r="F624" s="317"/>
      <c r="G624" s="317"/>
    </row>
    <row r="625" spans="1:7" ht="18">
      <c r="A625" s="317"/>
      <c r="B625" s="317"/>
      <c r="C625" s="317"/>
      <c r="D625" s="317"/>
      <c r="E625" s="317"/>
      <c r="F625" s="317"/>
      <c r="G625" s="317"/>
    </row>
    <row r="626" spans="1:7" ht="18">
      <c r="A626" s="317"/>
      <c r="B626" s="317"/>
      <c r="C626" s="317"/>
      <c r="D626" s="317"/>
      <c r="E626" s="317"/>
      <c r="F626" s="317"/>
      <c r="G626" s="317"/>
    </row>
    <row r="627" spans="1:7" ht="18">
      <c r="A627" s="317"/>
      <c r="B627" s="317"/>
      <c r="C627" s="317"/>
      <c r="D627" s="317"/>
      <c r="E627" s="317"/>
      <c r="F627" s="317"/>
      <c r="G627" s="317"/>
    </row>
    <row r="628" spans="1:7" ht="18">
      <c r="A628" s="317"/>
      <c r="B628" s="317"/>
      <c r="C628" s="317"/>
      <c r="D628" s="317"/>
      <c r="E628" s="317"/>
      <c r="F628" s="317"/>
      <c r="G628" s="317"/>
    </row>
    <row r="629" spans="1:7" ht="18">
      <c r="A629" s="317"/>
      <c r="B629" s="317"/>
      <c r="C629" s="317"/>
      <c r="D629" s="317"/>
      <c r="E629" s="317"/>
      <c r="F629" s="317"/>
      <c r="G629" s="317"/>
    </row>
    <row r="630" spans="1:7" ht="18">
      <c r="A630" s="317"/>
      <c r="B630" s="317"/>
      <c r="C630" s="317"/>
      <c r="D630" s="317"/>
      <c r="E630" s="317"/>
      <c r="F630" s="317"/>
      <c r="G630" s="317"/>
    </row>
    <row r="631" spans="1:7" ht="18">
      <c r="A631" s="317"/>
      <c r="B631" s="317"/>
      <c r="C631" s="317"/>
      <c r="D631" s="317"/>
      <c r="E631" s="317"/>
      <c r="F631" s="317"/>
      <c r="G631" s="317"/>
    </row>
    <row r="632" spans="1:7" ht="18">
      <c r="A632" s="317"/>
      <c r="B632" s="317"/>
      <c r="C632" s="317"/>
      <c r="D632" s="317"/>
      <c r="E632" s="317"/>
      <c r="F632" s="317"/>
      <c r="G632" s="317"/>
    </row>
    <row r="633" spans="1:7" ht="18">
      <c r="A633" s="317"/>
      <c r="B633" s="317"/>
      <c r="C633" s="317"/>
      <c r="D633" s="317"/>
      <c r="E633" s="317"/>
      <c r="F633" s="317"/>
      <c r="G633" s="317"/>
    </row>
    <row r="634" spans="1:7" ht="18">
      <c r="A634" s="317"/>
      <c r="B634" s="317"/>
      <c r="C634" s="317"/>
      <c r="D634" s="317"/>
      <c r="E634" s="317"/>
      <c r="F634" s="317"/>
      <c r="G634" s="317"/>
    </row>
    <row r="635" spans="1:7" ht="18">
      <c r="A635" s="317"/>
      <c r="B635" s="317"/>
      <c r="C635" s="317"/>
      <c r="D635" s="317"/>
      <c r="E635" s="317"/>
      <c r="F635" s="317"/>
      <c r="G635" s="317"/>
    </row>
    <row r="636" spans="1:7" ht="18">
      <c r="A636" s="317"/>
      <c r="B636" s="317"/>
      <c r="C636" s="317"/>
      <c r="D636" s="317"/>
      <c r="E636" s="317"/>
      <c r="F636" s="317"/>
      <c r="G636" s="317"/>
    </row>
    <row r="637" spans="1:7" ht="18">
      <c r="A637" s="317"/>
      <c r="B637" s="317"/>
      <c r="C637" s="317"/>
      <c r="D637" s="317"/>
      <c r="E637" s="317"/>
      <c r="F637" s="317"/>
      <c r="G637" s="317"/>
    </row>
    <row r="638" spans="1:7" ht="18">
      <c r="A638" s="317"/>
      <c r="B638" s="317"/>
      <c r="C638" s="317"/>
      <c r="D638" s="317"/>
      <c r="E638" s="317"/>
      <c r="F638" s="317"/>
      <c r="G638" s="317"/>
    </row>
    <row r="639" spans="1:7" ht="18">
      <c r="A639" s="317"/>
      <c r="B639" s="317"/>
      <c r="C639" s="317"/>
      <c r="D639" s="317"/>
      <c r="E639" s="317"/>
      <c r="F639" s="317"/>
      <c r="G639" s="317"/>
    </row>
    <row r="640" spans="1:7" ht="18">
      <c r="A640" s="317"/>
      <c r="B640" s="317"/>
      <c r="C640" s="317"/>
      <c r="D640" s="317"/>
      <c r="E640" s="317"/>
      <c r="F640" s="317"/>
      <c r="G640" s="317"/>
    </row>
    <row r="641" spans="1:7" ht="18">
      <c r="A641" s="317"/>
      <c r="B641" s="317"/>
      <c r="C641" s="317"/>
      <c r="D641" s="317"/>
      <c r="E641" s="317"/>
      <c r="F641" s="317"/>
      <c r="G641" s="317"/>
    </row>
    <row r="642" spans="1:7" ht="18">
      <c r="A642" s="317"/>
      <c r="B642" s="317"/>
      <c r="C642" s="317"/>
      <c r="D642" s="317"/>
      <c r="E642" s="317"/>
      <c r="F642" s="317"/>
      <c r="G642" s="317"/>
    </row>
    <row r="643" spans="1:7" ht="18">
      <c r="A643" s="317"/>
      <c r="B643" s="317"/>
      <c r="C643" s="317"/>
      <c r="D643" s="317"/>
      <c r="E643" s="317"/>
      <c r="F643" s="317"/>
      <c r="G643" s="317"/>
    </row>
    <row r="644" spans="1:7" ht="18">
      <c r="A644" s="317"/>
      <c r="B644" s="317"/>
      <c r="C644" s="317"/>
      <c r="D644" s="317"/>
      <c r="E644" s="317"/>
      <c r="F644" s="317"/>
      <c r="G644" s="317"/>
    </row>
    <row r="645" spans="1:7" ht="18">
      <c r="A645" s="317"/>
      <c r="B645" s="317"/>
      <c r="C645" s="317"/>
      <c r="D645" s="317"/>
      <c r="E645" s="317"/>
      <c r="F645" s="317"/>
      <c r="G645" s="317"/>
    </row>
    <row r="646" spans="1:7" ht="18">
      <c r="A646" s="317"/>
      <c r="B646" s="317"/>
      <c r="C646" s="317"/>
      <c r="D646" s="317"/>
      <c r="E646" s="317"/>
      <c r="F646" s="317"/>
      <c r="G646" s="317"/>
    </row>
    <row r="647" spans="1:7" ht="18">
      <c r="A647" s="317"/>
      <c r="B647" s="317"/>
      <c r="C647" s="317"/>
      <c r="D647" s="317"/>
      <c r="E647" s="317"/>
      <c r="F647" s="317"/>
      <c r="G647" s="317"/>
    </row>
    <row r="648" spans="1:7" ht="18">
      <c r="A648" s="317"/>
      <c r="B648" s="317"/>
      <c r="C648" s="317"/>
      <c r="D648" s="317"/>
      <c r="E648" s="317"/>
      <c r="F648" s="317"/>
      <c r="G648" s="317"/>
    </row>
    <row r="649" spans="1:7" ht="18">
      <c r="A649" s="317"/>
      <c r="B649" s="317"/>
      <c r="C649" s="317"/>
      <c r="D649" s="317"/>
      <c r="E649" s="317"/>
      <c r="F649" s="317"/>
      <c r="G649" s="317"/>
    </row>
    <row r="650" spans="1:7" ht="18">
      <c r="A650" s="317"/>
      <c r="B650" s="317"/>
      <c r="C650" s="317"/>
      <c r="D650" s="317"/>
      <c r="E650" s="317"/>
      <c r="F650" s="317"/>
      <c r="G650" s="317"/>
    </row>
    <row r="651" spans="1:7" ht="18">
      <c r="A651" s="317"/>
      <c r="B651" s="317"/>
      <c r="C651" s="317"/>
      <c r="D651" s="317"/>
      <c r="E651" s="317"/>
      <c r="F651" s="317"/>
      <c r="G651" s="317"/>
    </row>
    <row r="652" spans="1:7" ht="18">
      <c r="A652" s="317"/>
      <c r="B652" s="317"/>
      <c r="C652" s="317"/>
      <c r="D652" s="317"/>
      <c r="E652" s="317"/>
      <c r="F652" s="317"/>
      <c r="G652" s="317"/>
    </row>
    <row r="653" spans="1:7" ht="18">
      <c r="A653" s="317"/>
      <c r="B653" s="317"/>
      <c r="C653" s="317"/>
      <c r="D653" s="317"/>
      <c r="E653" s="317"/>
      <c r="F653" s="317"/>
      <c r="G653" s="317"/>
    </row>
    <row r="654" spans="1:7" ht="18">
      <c r="A654" s="317"/>
      <c r="B654" s="317"/>
      <c r="C654" s="317"/>
      <c r="D654" s="317"/>
      <c r="E654" s="317"/>
      <c r="F654" s="317"/>
      <c r="G654" s="317"/>
    </row>
    <row r="655" spans="1:7" ht="18">
      <c r="A655" s="317"/>
      <c r="B655" s="317"/>
      <c r="C655" s="317"/>
      <c r="D655" s="317"/>
      <c r="E655" s="317"/>
      <c r="F655" s="317"/>
      <c r="G655" s="317"/>
    </row>
    <row r="656" spans="1:7" ht="18">
      <c r="A656" s="317"/>
      <c r="B656" s="317"/>
      <c r="C656" s="317"/>
      <c r="D656" s="317"/>
      <c r="E656" s="317"/>
      <c r="F656" s="317"/>
      <c r="G656" s="317"/>
    </row>
    <row r="657" spans="1:7" ht="18">
      <c r="A657" s="317"/>
      <c r="B657" s="317"/>
      <c r="C657" s="317"/>
      <c r="D657" s="317"/>
      <c r="E657" s="317"/>
      <c r="F657" s="317"/>
      <c r="G657" s="317"/>
    </row>
    <row r="658" spans="1:7" ht="18">
      <c r="A658" s="317"/>
      <c r="B658" s="317"/>
      <c r="C658" s="317"/>
      <c r="D658" s="317"/>
      <c r="E658" s="317"/>
      <c r="F658" s="317"/>
      <c r="G658" s="317"/>
    </row>
    <row r="659" spans="1:7" ht="18">
      <c r="A659" s="317"/>
      <c r="B659" s="317"/>
      <c r="C659" s="317"/>
      <c r="D659" s="317"/>
      <c r="E659" s="317"/>
      <c r="F659" s="317"/>
      <c r="G659" s="317"/>
    </row>
    <row r="660" spans="1:7" ht="18">
      <c r="A660" s="317"/>
      <c r="B660" s="317"/>
      <c r="C660" s="317"/>
      <c r="D660" s="317"/>
      <c r="E660" s="317"/>
      <c r="F660" s="317"/>
      <c r="G660" s="317"/>
    </row>
    <row r="661" spans="1:7" ht="18">
      <c r="A661" s="317"/>
      <c r="B661" s="317"/>
      <c r="C661" s="317"/>
      <c r="D661" s="317"/>
      <c r="E661" s="317"/>
      <c r="F661" s="317"/>
      <c r="G661" s="317"/>
    </row>
    <row r="662" spans="1:7" ht="18">
      <c r="A662" s="317"/>
      <c r="B662" s="317"/>
      <c r="C662" s="317"/>
      <c r="D662" s="317"/>
      <c r="E662" s="317"/>
      <c r="F662" s="317"/>
      <c r="G662" s="317"/>
    </row>
    <row r="663" spans="1:7" ht="18">
      <c r="A663" s="317"/>
      <c r="B663" s="317"/>
      <c r="C663" s="317"/>
      <c r="D663" s="317"/>
      <c r="E663" s="317"/>
      <c r="F663" s="317"/>
      <c r="G663" s="317"/>
    </row>
    <row r="664" spans="1:7" ht="18">
      <c r="A664" s="317"/>
      <c r="B664" s="317"/>
      <c r="C664" s="317"/>
      <c r="D664" s="317"/>
      <c r="E664" s="317"/>
      <c r="F664" s="317"/>
      <c r="G664" s="317"/>
    </row>
    <row r="665" spans="1:7" ht="18">
      <c r="A665" s="317"/>
      <c r="B665" s="317"/>
      <c r="C665" s="317"/>
      <c r="D665" s="317"/>
      <c r="E665" s="317"/>
      <c r="F665" s="317"/>
      <c r="G665" s="317"/>
    </row>
    <row r="666" spans="1:7" ht="18">
      <c r="A666" s="317"/>
      <c r="B666" s="317"/>
      <c r="C666" s="317"/>
      <c r="D666" s="317"/>
      <c r="E666" s="317"/>
      <c r="F666" s="317"/>
      <c r="G666" s="317"/>
    </row>
    <row r="667" spans="1:7" ht="18">
      <c r="A667" s="317"/>
      <c r="B667" s="317"/>
      <c r="C667" s="317"/>
      <c r="D667" s="317"/>
      <c r="E667" s="317"/>
      <c r="F667" s="317"/>
      <c r="G667" s="317"/>
    </row>
    <row r="668" spans="1:7" ht="18">
      <c r="A668" s="317"/>
      <c r="B668" s="317"/>
      <c r="C668" s="317"/>
      <c r="D668" s="317"/>
      <c r="E668" s="317"/>
      <c r="F668" s="317"/>
      <c r="G668" s="317"/>
    </row>
    <row r="669" spans="1:7" ht="18">
      <c r="A669" s="317"/>
      <c r="B669" s="317"/>
      <c r="C669" s="317"/>
      <c r="D669" s="317"/>
      <c r="E669" s="317"/>
      <c r="F669" s="317"/>
      <c r="G669" s="317"/>
    </row>
    <row r="670" spans="1:7" ht="18">
      <c r="A670" s="317"/>
      <c r="B670" s="317"/>
      <c r="C670" s="317"/>
      <c r="D670" s="317"/>
      <c r="E670" s="317"/>
      <c r="F670" s="317"/>
      <c r="G670" s="317"/>
    </row>
    <row r="671" spans="1:7" ht="18">
      <c r="A671" s="317"/>
      <c r="B671" s="317"/>
      <c r="C671" s="317"/>
      <c r="D671" s="317"/>
      <c r="E671" s="317"/>
      <c r="F671" s="317"/>
      <c r="G671" s="317"/>
    </row>
    <row r="672" spans="1:7" ht="18">
      <c r="A672" s="317"/>
      <c r="B672" s="317"/>
      <c r="C672" s="317"/>
      <c r="D672" s="317"/>
      <c r="E672" s="317"/>
      <c r="F672" s="317"/>
      <c r="G672" s="317"/>
    </row>
    <row r="673" spans="1:7" ht="18">
      <c r="A673" s="317"/>
      <c r="B673" s="317"/>
      <c r="C673" s="317"/>
      <c r="D673" s="317"/>
      <c r="E673" s="317"/>
      <c r="F673" s="317"/>
      <c r="G673" s="317"/>
    </row>
    <row r="674" spans="1:7" ht="18">
      <c r="A674" s="317"/>
      <c r="B674" s="317"/>
      <c r="C674" s="317"/>
      <c r="D674" s="317"/>
      <c r="E674" s="317"/>
      <c r="F674" s="317"/>
      <c r="G674" s="317"/>
    </row>
    <row r="675" spans="1:7" ht="18">
      <c r="A675" s="317"/>
      <c r="B675" s="317"/>
      <c r="C675" s="317"/>
      <c r="D675" s="317"/>
      <c r="E675" s="317"/>
      <c r="F675" s="317"/>
      <c r="G675" s="317"/>
    </row>
    <row r="676" spans="1:7" ht="18">
      <c r="A676" s="317"/>
      <c r="B676" s="317"/>
      <c r="C676" s="317"/>
      <c r="D676" s="317"/>
      <c r="E676" s="317"/>
      <c r="F676" s="317"/>
      <c r="G676" s="317"/>
    </row>
    <row r="677" spans="1:7" ht="18">
      <c r="A677" s="317"/>
      <c r="B677" s="317"/>
      <c r="C677" s="317"/>
      <c r="D677" s="317"/>
      <c r="E677" s="317"/>
      <c r="F677" s="317"/>
      <c r="G677" s="317"/>
    </row>
    <row r="678" spans="1:7" ht="18">
      <c r="A678" s="317"/>
      <c r="B678" s="317"/>
      <c r="C678" s="317"/>
      <c r="D678" s="317"/>
      <c r="E678" s="317"/>
      <c r="F678" s="317"/>
      <c r="G678" s="317"/>
    </row>
    <row r="679" spans="1:7" ht="18">
      <c r="A679" s="317"/>
      <c r="B679" s="317"/>
      <c r="C679" s="317"/>
      <c r="D679" s="317"/>
      <c r="E679" s="317"/>
      <c r="F679" s="317"/>
      <c r="G679" s="317"/>
    </row>
    <row r="680" spans="1:7" ht="18">
      <c r="A680" s="317"/>
      <c r="B680" s="317"/>
      <c r="C680" s="317"/>
      <c r="D680" s="317"/>
      <c r="E680" s="317"/>
      <c r="F680" s="317"/>
      <c r="G680" s="317"/>
    </row>
    <row r="681" spans="1:7" ht="18">
      <c r="A681" s="317"/>
      <c r="B681" s="317"/>
      <c r="C681" s="317"/>
      <c r="D681" s="317"/>
      <c r="E681" s="317"/>
      <c r="F681" s="317"/>
      <c r="G681" s="317"/>
    </row>
    <row r="682" spans="1:7" ht="18">
      <c r="A682" s="317"/>
      <c r="B682" s="317"/>
      <c r="C682" s="317"/>
      <c r="D682" s="317"/>
      <c r="E682" s="317"/>
      <c r="F682" s="317"/>
      <c r="G682" s="317"/>
    </row>
    <row r="683" spans="1:7" ht="18">
      <c r="A683" s="317"/>
      <c r="B683" s="317"/>
      <c r="C683" s="317"/>
      <c r="D683" s="317"/>
      <c r="E683" s="317"/>
      <c r="F683" s="317"/>
      <c r="G683" s="317"/>
    </row>
    <row r="684" spans="1:7" ht="18">
      <c r="A684" s="317"/>
      <c r="B684" s="317"/>
      <c r="C684" s="317"/>
      <c r="D684" s="317"/>
      <c r="E684" s="317"/>
      <c r="F684" s="317"/>
      <c r="G684" s="317"/>
    </row>
    <row r="685" spans="1:7" ht="18">
      <c r="A685" s="317"/>
      <c r="B685" s="317"/>
      <c r="C685" s="317"/>
      <c r="D685" s="317"/>
      <c r="E685" s="317"/>
      <c r="F685" s="317"/>
      <c r="G685" s="317"/>
    </row>
    <row r="686" spans="1:7" ht="18">
      <c r="A686" s="317"/>
      <c r="B686" s="317"/>
      <c r="C686" s="317"/>
      <c r="D686" s="317"/>
      <c r="E686" s="317"/>
      <c r="F686" s="317"/>
      <c r="G686" s="317"/>
    </row>
    <row r="687" spans="1:7" ht="18">
      <c r="A687" s="317"/>
      <c r="B687" s="317"/>
      <c r="C687" s="317"/>
      <c r="D687" s="317"/>
      <c r="E687" s="317"/>
      <c r="F687" s="317"/>
      <c r="G687" s="317"/>
    </row>
    <row r="688" spans="1:7" ht="18">
      <c r="A688" s="317"/>
      <c r="B688" s="317"/>
      <c r="C688" s="317"/>
      <c r="D688" s="317"/>
      <c r="E688" s="317"/>
      <c r="F688" s="317"/>
      <c r="G688" s="317"/>
    </row>
    <row r="689" spans="1:7" ht="18">
      <c r="A689" s="317"/>
      <c r="B689" s="317"/>
      <c r="C689" s="317"/>
      <c r="D689" s="317"/>
      <c r="E689" s="317"/>
      <c r="F689" s="317"/>
      <c r="G689" s="317"/>
    </row>
    <row r="690" spans="1:7" ht="18">
      <c r="A690" s="317"/>
      <c r="B690" s="317"/>
      <c r="C690" s="317"/>
      <c r="D690" s="317"/>
      <c r="E690" s="317"/>
      <c r="F690" s="317"/>
      <c r="G690" s="317"/>
    </row>
    <row r="691" spans="1:7" ht="18">
      <c r="A691" s="317"/>
      <c r="B691" s="317"/>
      <c r="C691" s="317"/>
      <c r="D691" s="317"/>
      <c r="E691" s="317"/>
      <c r="F691" s="317"/>
      <c r="G691" s="317"/>
    </row>
    <row r="692" spans="1:7" ht="18">
      <c r="A692" s="317"/>
      <c r="B692" s="317"/>
      <c r="C692" s="317"/>
      <c r="D692" s="317"/>
      <c r="E692" s="317"/>
      <c r="F692" s="317"/>
      <c r="G692" s="317"/>
    </row>
    <row r="693" spans="1:7" ht="18">
      <c r="A693" s="317"/>
      <c r="B693" s="317"/>
      <c r="C693" s="317"/>
      <c r="D693" s="317"/>
      <c r="E693" s="317"/>
      <c r="F693" s="317"/>
      <c r="G693" s="317"/>
    </row>
    <row r="694" spans="1:7" ht="18">
      <c r="A694" s="317"/>
      <c r="B694" s="317"/>
      <c r="C694" s="317"/>
      <c r="D694" s="317"/>
      <c r="E694" s="317"/>
      <c r="F694" s="317"/>
      <c r="G694" s="317"/>
    </row>
    <row r="695" spans="1:7" ht="18">
      <c r="A695" s="317"/>
      <c r="B695" s="317"/>
      <c r="C695" s="317"/>
      <c r="D695" s="317"/>
      <c r="E695" s="317"/>
      <c r="F695" s="317"/>
      <c r="G695" s="317"/>
    </row>
    <row r="696" spans="1:7" ht="18">
      <c r="A696" s="317"/>
      <c r="B696" s="317"/>
      <c r="C696" s="317"/>
      <c r="D696" s="317"/>
      <c r="E696" s="317"/>
      <c r="F696" s="317"/>
      <c r="G696" s="317"/>
    </row>
    <row r="697" spans="1:7" ht="18">
      <c r="A697" s="317"/>
      <c r="B697" s="317"/>
      <c r="C697" s="317"/>
      <c r="D697" s="317"/>
      <c r="E697" s="317"/>
      <c r="F697" s="317"/>
      <c r="G697" s="317"/>
    </row>
    <row r="698" spans="1:7" ht="18">
      <c r="A698" s="317"/>
      <c r="B698" s="317"/>
      <c r="C698" s="317"/>
      <c r="D698" s="317"/>
      <c r="E698" s="317"/>
      <c r="F698" s="317"/>
      <c r="G698" s="317"/>
    </row>
    <row r="699" spans="1:7" ht="18">
      <c r="A699" s="317"/>
      <c r="B699" s="317"/>
      <c r="C699" s="317"/>
      <c r="D699" s="317"/>
      <c r="E699" s="317"/>
      <c r="F699" s="317"/>
      <c r="G699" s="317"/>
    </row>
    <row r="700" spans="1:7" ht="18">
      <c r="A700" s="317"/>
      <c r="B700" s="317"/>
      <c r="C700" s="317"/>
      <c r="D700" s="317"/>
      <c r="E700" s="317"/>
      <c r="F700" s="317"/>
      <c r="G700" s="317"/>
    </row>
    <row r="701" spans="1:7" ht="18">
      <c r="A701" s="317"/>
      <c r="B701" s="317"/>
      <c r="C701" s="317"/>
      <c r="D701" s="317"/>
      <c r="E701" s="317"/>
      <c r="F701" s="317"/>
      <c r="G701" s="317"/>
    </row>
    <row r="702" spans="1:7" ht="18">
      <c r="A702" s="317"/>
      <c r="B702" s="317"/>
      <c r="C702" s="317"/>
      <c r="D702" s="317"/>
      <c r="E702" s="317"/>
      <c r="F702" s="317"/>
      <c r="G702" s="317"/>
    </row>
    <row r="703" spans="1:7" ht="18">
      <c r="A703" s="317"/>
      <c r="B703" s="317"/>
      <c r="C703" s="317"/>
      <c r="D703" s="317"/>
      <c r="E703" s="317"/>
      <c r="F703" s="317"/>
      <c r="G703" s="317"/>
    </row>
    <row r="704" spans="1:7" ht="18">
      <c r="A704" s="317"/>
      <c r="B704" s="317"/>
      <c r="C704" s="317"/>
      <c r="D704" s="317"/>
      <c r="E704" s="317"/>
      <c r="F704" s="317"/>
      <c r="G704" s="317"/>
    </row>
    <row r="705" spans="1:7" ht="18">
      <c r="A705" s="317"/>
      <c r="B705" s="317"/>
      <c r="C705" s="317"/>
      <c r="D705" s="317"/>
      <c r="E705" s="317"/>
      <c r="F705" s="317"/>
      <c r="G705" s="317"/>
    </row>
    <row r="706" spans="1:7" ht="18">
      <c r="A706" s="317"/>
      <c r="B706" s="317"/>
      <c r="C706" s="317"/>
      <c r="D706" s="317"/>
      <c r="E706" s="317"/>
      <c r="F706" s="317"/>
      <c r="G706" s="317"/>
    </row>
    <row r="707" spans="1:7" ht="18">
      <c r="A707" s="317"/>
      <c r="B707" s="317"/>
      <c r="C707" s="317"/>
      <c r="D707" s="317"/>
      <c r="E707" s="317"/>
      <c r="F707" s="317"/>
      <c r="G707" s="317"/>
    </row>
    <row r="708" spans="1:7" ht="18">
      <c r="A708" s="317"/>
      <c r="B708" s="317"/>
      <c r="C708" s="317"/>
      <c r="D708" s="317"/>
      <c r="E708" s="317"/>
      <c r="F708" s="317"/>
      <c r="G708" s="317"/>
    </row>
    <row r="709" spans="1:7" ht="18">
      <c r="A709" s="317"/>
      <c r="B709" s="317"/>
      <c r="C709" s="317"/>
      <c r="D709" s="317"/>
      <c r="E709" s="317"/>
      <c r="F709" s="317"/>
      <c r="G709" s="317"/>
    </row>
    <row r="710" spans="1:7" ht="18">
      <c r="A710" s="317"/>
      <c r="B710" s="317"/>
      <c r="C710" s="317"/>
      <c r="D710" s="317"/>
      <c r="E710" s="317"/>
      <c r="F710" s="317"/>
      <c r="G710" s="317"/>
    </row>
    <row r="711" spans="1:7" ht="18">
      <c r="A711" s="317"/>
      <c r="B711" s="317"/>
      <c r="C711" s="317"/>
      <c r="D711" s="317"/>
      <c r="E711" s="317"/>
      <c r="F711" s="317"/>
      <c r="G711" s="317"/>
    </row>
    <row r="712" spans="1:7" ht="18">
      <c r="A712" s="317"/>
      <c r="B712" s="317"/>
      <c r="C712" s="317"/>
      <c r="D712" s="317"/>
      <c r="E712" s="317"/>
      <c r="F712" s="317"/>
      <c r="G712" s="317"/>
    </row>
    <row r="713" spans="1:7" ht="18">
      <c r="A713" s="317"/>
      <c r="B713" s="317"/>
      <c r="C713" s="317"/>
      <c r="D713" s="317"/>
      <c r="E713" s="317"/>
      <c r="F713" s="317"/>
      <c r="G713" s="317"/>
    </row>
    <row r="714" spans="1:7" ht="18">
      <c r="A714" s="317"/>
      <c r="B714" s="317"/>
      <c r="C714" s="317"/>
      <c r="D714" s="317"/>
      <c r="E714" s="317"/>
      <c r="F714" s="317"/>
      <c r="G714" s="317"/>
    </row>
    <row r="715" spans="1:7" ht="18">
      <c r="A715" s="317"/>
      <c r="B715" s="317"/>
      <c r="C715" s="317"/>
      <c r="D715" s="317"/>
      <c r="E715" s="317"/>
      <c r="F715" s="317"/>
      <c r="G715" s="317"/>
    </row>
    <row r="716" spans="1:7" ht="18">
      <c r="A716" s="317"/>
      <c r="B716" s="317"/>
      <c r="C716" s="317"/>
      <c r="D716" s="317"/>
      <c r="E716" s="317"/>
      <c r="F716" s="317"/>
      <c r="G716" s="317"/>
    </row>
    <row r="717" spans="1:7" ht="18">
      <c r="A717" s="317"/>
      <c r="B717" s="317"/>
      <c r="C717" s="317"/>
      <c r="D717" s="317"/>
      <c r="E717" s="317"/>
      <c r="F717" s="317"/>
      <c r="G717" s="317"/>
    </row>
    <row r="718" spans="1:7" ht="18">
      <c r="A718" s="317"/>
      <c r="B718" s="317"/>
      <c r="C718" s="317"/>
      <c r="D718" s="317"/>
      <c r="E718" s="317"/>
      <c r="F718" s="317"/>
      <c r="G718" s="317"/>
    </row>
    <row r="719" spans="1:7" ht="18">
      <c r="A719" s="317"/>
      <c r="B719" s="317"/>
      <c r="C719" s="317"/>
      <c r="D719" s="317"/>
      <c r="E719" s="317"/>
      <c r="F719" s="317"/>
      <c r="G719" s="317"/>
    </row>
    <row r="720" spans="1:7" ht="18">
      <c r="A720" s="317"/>
      <c r="B720" s="317"/>
      <c r="C720" s="317"/>
      <c r="D720" s="317"/>
      <c r="E720" s="317"/>
      <c r="F720" s="317"/>
      <c r="G720" s="317"/>
    </row>
    <row r="721" spans="1:7" ht="18">
      <c r="A721" s="317"/>
      <c r="B721" s="317"/>
      <c r="C721" s="317"/>
      <c r="D721" s="317"/>
      <c r="E721" s="317"/>
      <c r="F721" s="317"/>
      <c r="G721" s="317"/>
    </row>
    <row r="722" spans="1:7" ht="18">
      <c r="A722" s="317"/>
      <c r="B722" s="317"/>
      <c r="C722" s="317"/>
      <c r="D722" s="317"/>
      <c r="E722" s="317"/>
      <c r="F722" s="317"/>
      <c r="G722" s="317"/>
    </row>
    <row r="723" spans="1:7" ht="18">
      <c r="A723" s="317"/>
      <c r="B723" s="317"/>
      <c r="C723" s="317"/>
      <c r="D723" s="317"/>
      <c r="E723" s="317"/>
      <c r="F723" s="317"/>
      <c r="G723" s="317"/>
    </row>
    <row r="724" spans="1:7" ht="18">
      <c r="A724" s="317"/>
      <c r="B724" s="317"/>
      <c r="C724" s="317"/>
      <c r="D724" s="317"/>
      <c r="E724" s="317"/>
      <c r="F724" s="317"/>
      <c r="G724" s="317"/>
    </row>
    <row r="725" spans="1:7" ht="18">
      <c r="A725" s="317"/>
      <c r="B725" s="317"/>
      <c r="C725" s="317"/>
      <c r="D725" s="317"/>
      <c r="E725" s="317"/>
      <c r="F725" s="317"/>
      <c r="G725" s="317"/>
    </row>
    <row r="726" spans="1:7" ht="18">
      <c r="A726" s="317"/>
      <c r="B726" s="317"/>
      <c r="C726" s="317"/>
      <c r="D726" s="317"/>
      <c r="E726" s="317"/>
      <c r="F726" s="317"/>
      <c r="G726" s="317"/>
    </row>
    <row r="727" spans="1:7" ht="18">
      <c r="A727" s="317"/>
      <c r="B727" s="317"/>
      <c r="C727" s="317"/>
      <c r="D727" s="317"/>
      <c r="E727" s="317"/>
      <c r="F727" s="317"/>
      <c r="G727" s="317"/>
    </row>
    <row r="728" spans="1:7" ht="18">
      <c r="A728" s="317"/>
      <c r="B728" s="317"/>
      <c r="C728" s="317"/>
      <c r="D728" s="317"/>
      <c r="E728" s="317"/>
      <c r="F728" s="317"/>
      <c r="G728" s="317"/>
    </row>
    <row r="729" spans="1:7" ht="18">
      <c r="A729" s="317"/>
      <c r="B729" s="317"/>
      <c r="C729" s="317"/>
      <c r="D729" s="317"/>
      <c r="E729" s="317"/>
      <c r="F729" s="317"/>
      <c r="G729" s="317"/>
    </row>
    <row r="730" spans="1:7" ht="18">
      <c r="A730" s="317"/>
      <c r="B730" s="317"/>
      <c r="C730" s="317"/>
      <c r="D730" s="317"/>
      <c r="E730" s="317"/>
      <c r="F730" s="317"/>
      <c r="G730" s="317"/>
    </row>
    <row r="731" spans="1:7" ht="18">
      <c r="A731" s="317"/>
      <c r="B731" s="317"/>
      <c r="C731" s="317"/>
      <c r="D731" s="317"/>
      <c r="E731" s="317"/>
      <c r="F731" s="317"/>
      <c r="G731" s="317"/>
    </row>
    <row r="732" spans="1:7" ht="18">
      <c r="A732" s="317"/>
      <c r="B732" s="317"/>
      <c r="C732" s="317"/>
      <c r="D732" s="317"/>
      <c r="E732" s="317"/>
      <c r="F732" s="317"/>
      <c r="G732" s="317"/>
    </row>
    <row r="733" spans="1:7" ht="18">
      <c r="A733" s="317"/>
      <c r="B733" s="317"/>
      <c r="C733" s="317"/>
      <c r="D733" s="317"/>
      <c r="E733" s="317"/>
      <c r="F733" s="317"/>
      <c r="G733" s="317"/>
    </row>
    <row r="734" spans="1:7" ht="18">
      <c r="A734" s="317"/>
      <c r="B734" s="317"/>
      <c r="C734" s="317"/>
      <c r="D734" s="317"/>
      <c r="E734" s="317"/>
      <c r="F734" s="317"/>
      <c r="G734" s="317"/>
    </row>
    <row r="735" spans="1:7" ht="18">
      <c r="A735" s="317"/>
      <c r="B735" s="317"/>
      <c r="C735" s="317"/>
      <c r="D735" s="317"/>
      <c r="E735" s="317"/>
      <c r="F735" s="317"/>
      <c r="G735" s="317"/>
    </row>
    <row r="736" spans="1:7" ht="18">
      <c r="A736" s="317"/>
      <c r="B736" s="317"/>
      <c r="C736" s="317"/>
      <c r="D736" s="317"/>
      <c r="E736" s="317"/>
      <c r="F736" s="317"/>
      <c r="G736" s="317"/>
    </row>
    <row r="737" spans="1:7" ht="18">
      <c r="A737" s="317"/>
      <c r="B737" s="317"/>
      <c r="C737" s="317"/>
      <c r="D737" s="317"/>
      <c r="E737" s="317"/>
      <c r="F737" s="317"/>
      <c r="G737" s="317"/>
    </row>
    <row r="738" spans="1:7" ht="18">
      <c r="A738" s="317"/>
      <c r="B738" s="317"/>
      <c r="C738" s="317"/>
      <c r="D738" s="317"/>
      <c r="E738" s="317"/>
      <c r="F738" s="317"/>
      <c r="G738" s="317"/>
    </row>
    <row r="739" spans="1:7" ht="18">
      <c r="A739" s="317"/>
      <c r="B739" s="317"/>
      <c r="C739" s="317"/>
      <c r="D739" s="317"/>
      <c r="E739" s="317"/>
      <c r="F739" s="317"/>
      <c r="G739" s="317"/>
    </row>
    <row r="740" spans="1:7" ht="18">
      <c r="A740" s="317"/>
      <c r="B740" s="317"/>
      <c r="C740" s="317"/>
      <c r="D740" s="317"/>
      <c r="E740" s="317"/>
      <c r="F740" s="317"/>
      <c r="G740" s="317"/>
    </row>
    <row r="741" spans="1:7" ht="18">
      <c r="A741" s="317"/>
      <c r="B741" s="317"/>
      <c r="C741" s="317"/>
      <c r="D741" s="317"/>
      <c r="E741" s="317"/>
      <c r="F741" s="317"/>
      <c r="G741" s="317"/>
    </row>
    <row r="742" spans="1:7" ht="18">
      <c r="A742" s="317"/>
      <c r="B742" s="317"/>
      <c r="C742" s="317"/>
      <c r="D742" s="317"/>
      <c r="E742" s="317"/>
      <c r="F742" s="317"/>
      <c r="G742" s="317"/>
    </row>
    <row r="743" spans="1:7" ht="18">
      <c r="A743" s="317"/>
      <c r="B743" s="317"/>
      <c r="C743" s="317"/>
      <c r="D743" s="317"/>
      <c r="E743" s="317"/>
      <c r="F743" s="317"/>
      <c r="G743" s="317"/>
    </row>
    <row r="744" spans="1:7" ht="18">
      <c r="A744" s="317"/>
      <c r="B744" s="317"/>
      <c r="C744" s="317"/>
      <c r="D744" s="317"/>
      <c r="E744" s="317"/>
      <c r="F744" s="317"/>
      <c r="G744" s="317"/>
    </row>
    <row r="745" spans="1:7" ht="18">
      <c r="A745" s="317"/>
      <c r="B745" s="317"/>
      <c r="C745" s="317"/>
      <c r="D745" s="317"/>
      <c r="E745" s="317"/>
      <c r="F745" s="317"/>
      <c r="G745" s="317"/>
    </row>
    <row r="746" spans="1:7" ht="18">
      <c r="A746" s="317"/>
      <c r="B746" s="317"/>
      <c r="C746" s="317"/>
      <c r="D746" s="317"/>
      <c r="E746" s="317"/>
      <c r="F746" s="317"/>
      <c r="G746" s="317"/>
    </row>
    <row r="747" spans="1:7" ht="18">
      <c r="A747" s="317"/>
      <c r="B747" s="317"/>
      <c r="C747" s="317"/>
      <c r="D747" s="317"/>
      <c r="E747" s="317"/>
      <c r="F747" s="317"/>
      <c r="G747" s="317"/>
    </row>
    <row r="748" spans="1:7" ht="18">
      <c r="A748" s="317"/>
      <c r="B748" s="317"/>
      <c r="C748" s="317"/>
      <c r="D748" s="317"/>
      <c r="E748" s="317"/>
      <c r="F748" s="317"/>
      <c r="G748" s="317"/>
    </row>
    <row r="749" spans="1:7" ht="18">
      <c r="A749" s="317"/>
      <c r="B749" s="317"/>
      <c r="C749" s="317"/>
      <c r="D749" s="317"/>
      <c r="E749" s="317"/>
      <c r="F749" s="317"/>
      <c r="G749" s="317"/>
    </row>
    <row r="750" spans="1:7" ht="18">
      <c r="A750" s="317"/>
      <c r="B750" s="317"/>
      <c r="C750" s="317"/>
      <c r="D750" s="317"/>
      <c r="E750" s="317"/>
      <c r="F750" s="317"/>
      <c r="G750" s="317"/>
    </row>
    <row r="751" spans="1:7" ht="18">
      <c r="A751" s="317"/>
      <c r="B751" s="317"/>
      <c r="C751" s="317"/>
      <c r="D751" s="317"/>
      <c r="E751" s="317"/>
      <c r="F751" s="317"/>
      <c r="G751" s="317"/>
    </row>
    <row r="752" spans="1:7" ht="18">
      <c r="A752" s="317"/>
      <c r="B752" s="317"/>
      <c r="C752" s="317"/>
      <c r="D752" s="317"/>
      <c r="E752" s="317"/>
      <c r="F752" s="317"/>
      <c r="G752" s="317"/>
    </row>
    <row r="753" spans="1:7" ht="18">
      <c r="A753" s="317"/>
      <c r="B753" s="317"/>
      <c r="C753" s="317"/>
      <c r="D753" s="317"/>
      <c r="E753" s="317"/>
      <c r="F753" s="317"/>
      <c r="G753" s="317"/>
    </row>
    <row r="754" spans="1:7" ht="18">
      <c r="A754" s="317"/>
      <c r="B754" s="317"/>
      <c r="C754" s="317"/>
      <c r="D754" s="317"/>
      <c r="E754" s="317"/>
      <c r="F754" s="317"/>
      <c r="G754" s="317"/>
    </row>
    <row r="755" spans="1:7" ht="18">
      <c r="A755" s="317"/>
      <c r="B755" s="317"/>
      <c r="C755" s="317"/>
      <c r="D755" s="317"/>
      <c r="E755" s="317"/>
      <c r="F755" s="317"/>
      <c r="G755" s="317"/>
    </row>
    <row r="756" spans="1:7" ht="18">
      <c r="A756" s="317"/>
      <c r="B756" s="317"/>
      <c r="C756" s="317"/>
      <c r="D756" s="317"/>
      <c r="E756" s="317"/>
      <c r="F756" s="317"/>
      <c r="G756" s="317"/>
    </row>
    <row r="757" spans="1:7" ht="18">
      <c r="A757" s="317"/>
      <c r="B757" s="317"/>
      <c r="C757" s="317"/>
      <c r="D757" s="317"/>
      <c r="E757" s="317"/>
      <c r="F757" s="317"/>
      <c r="G757" s="317"/>
    </row>
    <row r="758" spans="1:7" ht="18">
      <c r="A758" s="317"/>
      <c r="B758" s="317"/>
      <c r="C758" s="317"/>
      <c r="D758" s="317"/>
      <c r="E758" s="317"/>
      <c r="F758" s="317"/>
      <c r="G758" s="317"/>
    </row>
    <row r="759" spans="1:7" ht="18">
      <c r="A759" s="317"/>
      <c r="B759" s="317"/>
      <c r="C759" s="317"/>
      <c r="D759" s="317"/>
      <c r="E759" s="317"/>
      <c r="F759" s="317"/>
      <c r="G759" s="317"/>
    </row>
    <row r="760" spans="1:7" ht="18">
      <c r="A760" s="317"/>
      <c r="B760" s="317"/>
      <c r="C760" s="317"/>
      <c r="D760" s="317"/>
      <c r="E760" s="317"/>
      <c r="F760" s="317"/>
      <c r="G760" s="317"/>
    </row>
    <row r="761" spans="1:7" ht="18">
      <c r="A761" s="317"/>
      <c r="B761" s="317"/>
      <c r="C761" s="317"/>
      <c r="D761" s="317"/>
      <c r="E761" s="317"/>
      <c r="F761" s="317"/>
      <c r="G761" s="317"/>
    </row>
    <row r="762" spans="1:7" ht="18">
      <c r="A762" s="317"/>
      <c r="B762" s="317"/>
      <c r="C762" s="317"/>
      <c r="D762" s="317"/>
      <c r="E762" s="317"/>
      <c r="F762" s="317"/>
      <c r="G762" s="317"/>
    </row>
    <row r="763" spans="1:7" ht="18">
      <c r="A763" s="317"/>
      <c r="B763" s="317"/>
      <c r="C763" s="317"/>
      <c r="D763" s="317"/>
      <c r="E763" s="317"/>
      <c r="F763" s="317"/>
      <c r="G763" s="317"/>
    </row>
    <row r="764" spans="1:7" ht="18">
      <c r="A764" s="317"/>
      <c r="B764" s="317"/>
      <c r="C764" s="317"/>
      <c r="D764" s="317"/>
      <c r="E764" s="317"/>
      <c r="F764" s="317"/>
      <c r="G764" s="317"/>
    </row>
    <row r="765" spans="1:7" ht="18">
      <c r="A765" s="317"/>
      <c r="B765" s="317"/>
      <c r="C765" s="317"/>
      <c r="D765" s="317"/>
      <c r="E765" s="317"/>
      <c r="F765" s="317"/>
      <c r="G765" s="317"/>
    </row>
    <row r="766" spans="1:7" ht="18">
      <c r="A766" s="317"/>
      <c r="B766" s="317"/>
      <c r="C766" s="317"/>
      <c r="D766" s="317"/>
      <c r="E766" s="317"/>
      <c r="F766" s="317"/>
      <c r="G766" s="317"/>
    </row>
    <row r="767" spans="1:7" ht="18">
      <c r="A767" s="317"/>
      <c r="B767" s="317"/>
      <c r="C767" s="317"/>
      <c r="D767" s="317"/>
      <c r="E767" s="317"/>
      <c r="F767" s="317"/>
      <c r="G767" s="317"/>
    </row>
    <row r="768" spans="1:7" ht="18">
      <c r="A768" s="317"/>
      <c r="B768" s="317"/>
      <c r="C768" s="317"/>
      <c r="D768" s="317"/>
      <c r="E768" s="317"/>
      <c r="F768" s="317"/>
      <c r="G768" s="317"/>
    </row>
    <row r="769" spans="1:7" ht="18">
      <c r="A769" s="317"/>
      <c r="B769" s="317"/>
      <c r="C769" s="317"/>
      <c r="D769" s="317"/>
      <c r="E769" s="317"/>
      <c r="F769" s="317"/>
      <c r="G769" s="317"/>
    </row>
    <row r="770" spans="1:7" ht="18">
      <c r="A770" s="317"/>
      <c r="B770" s="317"/>
      <c r="C770" s="317"/>
      <c r="D770" s="317"/>
      <c r="E770" s="317"/>
      <c r="F770" s="317"/>
      <c r="G770" s="317"/>
    </row>
    <row r="771" spans="1:7" ht="18">
      <c r="A771" s="317"/>
      <c r="B771" s="317"/>
      <c r="C771" s="317"/>
      <c r="D771" s="317"/>
      <c r="E771" s="317"/>
      <c r="F771" s="317"/>
      <c r="G771" s="317"/>
    </row>
    <row r="772" spans="1:7" ht="18">
      <c r="A772" s="317"/>
      <c r="B772" s="317"/>
      <c r="C772" s="317"/>
      <c r="D772" s="317"/>
      <c r="E772" s="317"/>
      <c r="F772" s="317"/>
      <c r="G772" s="317"/>
    </row>
    <row r="773" spans="1:7" ht="18">
      <c r="A773" s="317"/>
      <c r="B773" s="317"/>
      <c r="C773" s="317"/>
      <c r="D773" s="317"/>
      <c r="E773" s="317"/>
      <c r="F773" s="317"/>
      <c r="G773" s="317"/>
    </row>
    <row r="774" spans="1:7" ht="18">
      <c r="A774" s="317"/>
      <c r="B774" s="317"/>
      <c r="C774" s="317"/>
      <c r="D774" s="317"/>
      <c r="E774" s="317"/>
      <c r="F774" s="317"/>
      <c r="G774" s="317"/>
    </row>
    <row r="775" spans="1:7" ht="18">
      <c r="A775" s="317"/>
      <c r="B775" s="317"/>
      <c r="C775" s="317"/>
      <c r="D775" s="317"/>
      <c r="E775" s="317"/>
      <c r="F775" s="317"/>
      <c r="G775" s="317"/>
    </row>
    <row r="776" spans="1:7" ht="18">
      <c r="A776" s="317"/>
      <c r="B776" s="317"/>
      <c r="C776" s="317"/>
      <c r="D776" s="317"/>
      <c r="E776" s="317"/>
      <c r="F776" s="317"/>
      <c r="G776" s="317"/>
    </row>
    <row r="777" spans="1:7" ht="18">
      <c r="A777" s="317"/>
      <c r="B777" s="317"/>
      <c r="C777" s="317"/>
      <c r="D777" s="317"/>
      <c r="E777" s="317"/>
      <c r="F777" s="317"/>
      <c r="G777" s="317"/>
    </row>
    <row r="778" spans="1:7" ht="18">
      <c r="A778" s="317"/>
      <c r="B778" s="317"/>
      <c r="C778" s="317"/>
      <c r="D778" s="317"/>
      <c r="E778" s="317"/>
      <c r="F778" s="317"/>
      <c r="G778" s="317"/>
    </row>
    <row r="779" spans="1:7" ht="18">
      <c r="A779" s="317"/>
      <c r="B779" s="317"/>
      <c r="C779" s="317"/>
      <c r="D779" s="317"/>
      <c r="E779" s="317"/>
      <c r="F779" s="317"/>
      <c r="G779" s="317"/>
    </row>
    <row r="780" spans="1:7" ht="18">
      <c r="A780" s="317"/>
      <c r="B780" s="317"/>
      <c r="C780" s="317"/>
      <c r="D780" s="317"/>
      <c r="E780" s="317"/>
      <c r="F780" s="317"/>
      <c r="G780" s="317"/>
    </row>
    <row r="781" spans="1:7" ht="18">
      <c r="A781" s="317"/>
      <c r="B781" s="317"/>
      <c r="C781" s="317"/>
      <c r="D781" s="317"/>
      <c r="E781" s="317"/>
      <c r="F781" s="317"/>
      <c r="G781" s="317"/>
    </row>
    <row r="782" spans="1:7" ht="18">
      <c r="A782" s="317"/>
      <c r="B782" s="317"/>
      <c r="C782" s="317"/>
      <c r="D782" s="317"/>
      <c r="E782" s="317"/>
      <c r="F782" s="317"/>
      <c r="G782" s="317"/>
    </row>
    <row r="783" spans="1:7" ht="18">
      <c r="A783" s="317"/>
      <c r="B783" s="317"/>
      <c r="C783" s="317"/>
      <c r="D783" s="317"/>
      <c r="E783" s="317"/>
      <c r="F783" s="317"/>
      <c r="G783" s="317"/>
    </row>
    <row r="784" spans="1:7" ht="18">
      <c r="A784" s="317"/>
      <c r="B784" s="317"/>
      <c r="C784" s="317"/>
      <c r="D784" s="317"/>
      <c r="E784" s="317"/>
      <c r="F784" s="317"/>
      <c r="G784" s="317"/>
    </row>
    <row r="785" spans="1:7" ht="18">
      <c r="A785" s="317"/>
      <c r="B785" s="317"/>
      <c r="C785" s="317"/>
      <c r="D785" s="317"/>
      <c r="E785" s="317"/>
      <c r="F785" s="317"/>
      <c r="G785" s="317"/>
    </row>
    <row r="786" spans="1:7" ht="18">
      <c r="A786" s="317"/>
      <c r="B786" s="317"/>
      <c r="C786" s="317"/>
      <c r="D786" s="317"/>
      <c r="E786" s="317"/>
      <c r="F786" s="317"/>
      <c r="G786" s="317"/>
    </row>
    <row r="787" spans="1:7" ht="18">
      <c r="A787" s="317"/>
      <c r="B787" s="317"/>
      <c r="C787" s="317"/>
      <c r="D787" s="317"/>
      <c r="E787" s="317"/>
      <c r="F787" s="317"/>
      <c r="G787" s="317"/>
    </row>
    <row r="788" spans="1:7" ht="18">
      <c r="A788" s="317"/>
      <c r="B788" s="317"/>
      <c r="C788" s="317"/>
      <c r="D788" s="317"/>
      <c r="E788" s="317"/>
      <c r="F788" s="317"/>
      <c r="G788" s="317"/>
    </row>
    <row r="789" spans="1:7" ht="18">
      <c r="A789" s="317"/>
      <c r="B789" s="317"/>
      <c r="C789" s="317"/>
      <c r="D789" s="317"/>
      <c r="E789" s="317"/>
      <c r="F789" s="317"/>
      <c r="G789" s="317"/>
    </row>
    <row r="790" spans="1:7" ht="18">
      <c r="A790" s="317"/>
      <c r="B790" s="317"/>
      <c r="C790" s="317"/>
      <c r="D790" s="317"/>
      <c r="E790" s="317"/>
      <c r="F790" s="317"/>
      <c r="G790" s="317"/>
    </row>
    <row r="791" spans="1:7" ht="18">
      <c r="A791" s="317"/>
      <c r="B791" s="317"/>
      <c r="C791" s="317"/>
      <c r="D791" s="317"/>
      <c r="E791" s="317"/>
      <c r="F791" s="317"/>
      <c r="G791" s="317"/>
    </row>
    <row r="792" spans="1:7" ht="18">
      <c r="A792" s="317"/>
      <c r="B792" s="317"/>
      <c r="C792" s="317"/>
      <c r="D792" s="317"/>
      <c r="E792" s="317"/>
      <c r="F792" s="317"/>
      <c r="G792" s="317"/>
    </row>
    <row r="793" spans="1:7" ht="18">
      <c r="A793" s="317"/>
      <c r="B793" s="317"/>
      <c r="C793" s="317"/>
      <c r="D793" s="317"/>
      <c r="E793" s="317"/>
      <c r="F793" s="317"/>
      <c r="G793" s="317"/>
    </row>
    <row r="794" spans="1:7" ht="18">
      <c r="A794" s="317"/>
      <c r="B794" s="317"/>
      <c r="C794" s="317"/>
      <c r="D794" s="317"/>
      <c r="E794" s="317"/>
      <c r="F794" s="317"/>
      <c r="G794" s="317"/>
    </row>
    <row r="795" spans="1:7" ht="18">
      <c r="A795" s="317"/>
      <c r="B795" s="317"/>
      <c r="C795" s="317"/>
      <c r="D795" s="317"/>
      <c r="E795" s="317"/>
      <c r="F795" s="317"/>
      <c r="G795" s="317"/>
    </row>
    <row r="796" spans="1:7" ht="18">
      <c r="A796" s="317"/>
      <c r="B796" s="317"/>
      <c r="C796" s="317"/>
      <c r="D796" s="317"/>
      <c r="E796" s="317"/>
      <c r="F796" s="317"/>
      <c r="G796" s="317"/>
    </row>
    <row r="797" spans="1:7" ht="18">
      <c r="A797" s="317"/>
      <c r="B797" s="317"/>
      <c r="C797" s="317"/>
      <c r="D797" s="317"/>
      <c r="E797" s="317"/>
      <c r="F797" s="317"/>
      <c r="G797" s="317"/>
    </row>
    <row r="798" spans="1:7" ht="18">
      <c r="A798" s="317"/>
      <c r="B798" s="317"/>
      <c r="C798" s="317"/>
      <c r="D798" s="317"/>
      <c r="E798" s="317"/>
      <c r="F798" s="317"/>
      <c r="G798" s="317"/>
    </row>
    <row r="799" spans="1:7" ht="18">
      <c r="A799" s="317"/>
      <c r="B799" s="317"/>
      <c r="C799" s="317"/>
      <c r="D799" s="317"/>
      <c r="E799" s="317"/>
      <c r="F799" s="317"/>
      <c r="G799" s="317"/>
    </row>
    <row r="800" spans="1:7" ht="18">
      <c r="A800" s="317"/>
      <c r="B800" s="317"/>
      <c r="C800" s="317"/>
      <c r="D800" s="317"/>
      <c r="E800" s="317"/>
      <c r="F800" s="317"/>
      <c r="G800" s="317"/>
    </row>
    <row r="801" spans="1:7" ht="18">
      <c r="A801" s="317"/>
      <c r="B801" s="317"/>
      <c r="C801" s="317"/>
      <c r="D801" s="317"/>
      <c r="E801" s="317"/>
      <c r="F801" s="317"/>
      <c r="G801" s="317"/>
    </row>
    <row r="802" spans="1:7" ht="18">
      <c r="A802" s="317"/>
      <c r="B802" s="317"/>
      <c r="C802" s="317"/>
      <c r="D802" s="317"/>
      <c r="E802" s="317"/>
      <c r="F802" s="317"/>
      <c r="G802" s="317"/>
    </row>
    <row r="803" spans="1:7" ht="18">
      <c r="A803" s="317"/>
      <c r="B803" s="317"/>
      <c r="C803" s="317"/>
      <c r="D803" s="317"/>
      <c r="E803" s="317"/>
      <c r="F803" s="317"/>
      <c r="G803" s="317"/>
    </row>
    <row r="804" spans="1:7" ht="18">
      <c r="A804" s="317"/>
      <c r="B804" s="317"/>
      <c r="C804" s="317"/>
      <c r="D804" s="317"/>
      <c r="E804" s="317"/>
      <c r="F804" s="317"/>
      <c r="G804" s="317"/>
    </row>
    <row r="805" spans="1:7" ht="18">
      <c r="A805" s="317"/>
      <c r="B805" s="317"/>
      <c r="C805" s="317"/>
      <c r="D805" s="317"/>
      <c r="E805" s="317"/>
      <c r="F805" s="317"/>
      <c r="G805" s="317"/>
    </row>
    <row r="806" spans="1:7" ht="18">
      <c r="A806" s="317"/>
      <c r="B806" s="317"/>
      <c r="C806" s="317"/>
      <c r="D806" s="317"/>
      <c r="E806" s="317"/>
      <c r="F806" s="317"/>
      <c r="G806" s="317"/>
    </row>
    <row r="807" spans="1:7" ht="18">
      <c r="A807" s="317"/>
      <c r="B807" s="317"/>
      <c r="C807" s="317"/>
      <c r="D807" s="317"/>
      <c r="E807" s="317"/>
      <c r="F807" s="317"/>
      <c r="G807" s="317"/>
    </row>
    <row r="808" spans="1:7" ht="18">
      <c r="A808" s="317"/>
      <c r="B808" s="317"/>
      <c r="C808" s="317"/>
      <c r="D808" s="317"/>
      <c r="E808" s="317"/>
      <c r="F808" s="317"/>
      <c r="G808" s="317"/>
    </row>
    <row r="809" spans="1:7" ht="18">
      <c r="A809" s="317"/>
      <c r="B809" s="317"/>
      <c r="C809" s="317"/>
      <c r="D809" s="317"/>
      <c r="E809" s="317"/>
      <c r="F809" s="317"/>
      <c r="G809" s="317"/>
    </row>
    <row r="810" spans="1:7" ht="18">
      <c r="A810" s="317"/>
      <c r="B810" s="317"/>
      <c r="C810" s="317"/>
      <c r="D810" s="317"/>
      <c r="E810" s="317"/>
      <c r="F810" s="317"/>
      <c r="G810" s="317"/>
    </row>
    <row r="811" spans="1:7" ht="18">
      <c r="A811" s="317"/>
      <c r="B811" s="317"/>
      <c r="C811" s="317"/>
      <c r="D811" s="317"/>
      <c r="E811" s="317"/>
      <c r="F811" s="317"/>
      <c r="G811" s="317"/>
    </row>
    <row r="812" spans="1:7" ht="18">
      <c r="A812" s="317"/>
      <c r="B812" s="317"/>
      <c r="C812" s="317"/>
      <c r="D812" s="317"/>
      <c r="E812" s="317"/>
      <c r="F812" s="317"/>
      <c r="G812" s="317"/>
    </row>
    <row r="813" spans="1:7" ht="18">
      <c r="A813" s="317"/>
      <c r="B813" s="317"/>
      <c r="C813" s="317"/>
      <c r="D813" s="317"/>
      <c r="E813" s="317"/>
      <c r="F813" s="317"/>
      <c r="G813" s="317"/>
    </row>
    <row r="814" spans="1:7" ht="18">
      <c r="A814" s="317"/>
      <c r="B814" s="317"/>
      <c r="C814" s="317"/>
      <c r="D814" s="317"/>
      <c r="E814" s="317"/>
      <c r="F814" s="317"/>
      <c r="G814" s="317"/>
    </row>
    <row r="815" spans="1:7" ht="18">
      <c r="A815" s="317"/>
      <c r="B815" s="317"/>
      <c r="C815" s="317"/>
      <c r="D815" s="317"/>
      <c r="E815" s="317"/>
      <c r="F815" s="317"/>
      <c r="G815" s="317"/>
    </row>
    <row r="816" spans="1:7" ht="18">
      <c r="A816" s="317"/>
      <c r="B816" s="317"/>
      <c r="C816" s="317"/>
      <c r="D816" s="317"/>
      <c r="E816" s="317"/>
      <c r="F816" s="317"/>
      <c r="G816" s="317"/>
    </row>
    <row r="817" spans="1:7" ht="18">
      <c r="A817" s="317"/>
      <c r="B817" s="317"/>
      <c r="C817" s="317"/>
      <c r="D817" s="317"/>
      <c r="E817" s="317"/>
      <c r="F817" s="317"/>
      <c r="G817" s="317"/>
    </row>
    <row r="818" spans="1:7" ht="18">
      <c r="A818" s="317"/>
      <c r="B818" s="317"/>
      <c r="C818" s="317"/>
      <c r="D818" s="317"/>
      <c r="E818" s="317"/>
      <c r="F818" s="317"/>
      <c r="G818" s="317"/>
    </row>
    <row r="819" spans="1:7" ht="18">
      <c r="A819" s="317"/>
      <c r="B819" s="317"/>
      <c r="C819" s="317"/>
      <c r="D819" s="317"/>
      <c r="E819" s="317"/>
      <c r="F819" s="317"/>
      <c r="G819" s="317"/>
    </row>
    <row r="820" spans="1:7" ht="18">
      <c r="A820" s="317"/>
      <c r="B820" s="317"/>
      <c r="C820" s="317"/>
      <c r="D820" s="317"/>
      <c r="E820" s="317"/>
      <c r="F820" s="317"/>
      <c r="G820" s="317"/>
    </row>
    <row r="821" spans="1:7" ht="18">
      <c r="A821" s="317"/>
      <c r="B821" s="317"/>
      <c r="C821" s="317"/>
      <c r="D821" s="317"/>
      <c r="E821" s="317"/>
      <c r="F821" s="317"/>
      <c r="G821" s="317"/>
    </row>
    <row r="822" spans="1:7" ht="18">
      <c r="A822" s="317"/>
      <c r="B822" s="317"/>
      <c r="C822" s="317"/>
      <c r="D822" s="317"/>
      <c r="E822" s="317"/>
      <c r="F822" s="317"/>
      <c r="G822" s="317"/>
    </row>
    <row r="823" spans="1:7" ht="18">
      <c r="A823" s="317"/>
      <c r="B823" s="317"/>
      <c r="C823" s="317"/>
      <c r="D823" s="317"/>
      <c r="E823" s="317"/>
      <c r="F823" s="317"/>
      <c r="G823" s="317"/>
    </row>
    <row r="824" spans="1:7" ht="18">
      <c r="A824" s="317"/>
      <c r="B824" s="317"/>
      <c r="C824" s="317"/>
      <c r="D824" s="317"/>
      <c r="E824" s="317"/>
      <c r="F824" s="317"/>
      <c r="G824" s="317"/>
    </row>
    <row r="825" spans="1:7" ht="18">
      <c r="A825" s="317"/>
      <c r="B825" s="317"/>
      <c r="C825" s="317"/>
      <c r="D825" s="317"/>
      <c r="E825" s="317"/>
      <c r="F825" s="317"/>
      <c r="G825" s="317"/>
    </row>
    <row r="826" spans="1:7" ht="18">
      <c r="A826" s="317"/>
      <c r="B826" s="317"/>
      <c r="C826" s="317"/>
      <c r="D826" s="317"/>
      <c r="E826" s="317"/>
      <c r="F826" s="317"/>
      <c r="G826" s="317"/>
    </row>
    <row r="827" spans="1:7" ht="18">
      <c r="A827" s="317"/>
      <c r="B827" s="317"/>
      <c r="C827" s="317"/>
      <c r="D827" s="317"/>
      <c r="E827" s="317"/>
      <c r="F827" s="317"/>
      <c r="G827" s="317"/>
    </row>
    <row r="828" spans="1:7" ht="18">
      <c r="A828" s="317"/>
      <c r="B828" s="317"/>
      <c r="C828" s="317"/>
      <c r="D828" s="317"/>
      <c r="E828" s="317"/>
      <c r="F828" s="317"/>
      <c r="G828" s="317"/>
    </row>
    <row r="829" spans="1:7" ht="18">
      <c r="A829" s="317"/>
      <c r="B829" s="317"/>
      <c r="C829" s="317"/>
      <c r="D829" s="317"/>
      <c r="E829" s="317"/>
      <c r="F829" s="317"/>
      <c r="G829" s="317"/>
    </row>
    <row r="830" spans="1:7" ht="18">
      <c r="A830" s="317"/>
      <c r="B830" s="317"/>
      <c r="C830" s="317"/>
      <c r="D830" s="317"/>
      <c r="E830" s="317"/>
      <c r="F830" s="317"/>
      <c r="G830" s="317"/>
    </row>
    <row r="831" spans="1:7" ht="18">
      <c r="A831" s="317"/>
      <c r="B831" s="317"/>
      <c r="C831" s="317"/>
      <c r="D831" s="317"/>
      <c r="E831" s="317"/>
      <c r="F831" s="317"/>
      <c r="G831" s="317"/>
    </row>
    <row r="832" spans="1:7" ht="18">
      <c r="A832" s="317"/>
      <c r="B832" s="317"/>
      <c r="C832" s="317"/>
      <c r="D832" s="317"/>
      <c r="E832" s="317"/>
      <c r="F832" s="317"/>
      <c r="G832" s="317"/>
    </row>
    <row r="833" spans="1:7" ht="18">
      <c r="A833" s="317"/>
      <c r="B833" s="317"/>
      <c r="C833" s="317"/>
      <c r="D833" s="317"/>
      <c r="E833" s="317"/>
      <c r="F833" s="317"/>
      <c r="G833" s="317"/>
    </row>
    <row r="834" spans="1:7" ht="18">
      <c r="A834" s="317"/>
      <c r="B834" s="317"/>
      <c r="C834" s="317"/>
      <c r="D834" s="317"/>
      <c r="E834" s="317"/>
      <c r="F834" s="317"/>
      <c r="G834" s="317"/>
    </row>
    <row r="835" spans="1:7" ht="18">
      <c r="A835" s="317"/>
      <c r="B835" s="317"/>
      <c r="C835" s="317"/>
      <c r="D835" s="317"/>
      <c r="E835" s="317"/>
      <c r="F835" s="317"/>
      <c r="G835" s="317"/>
    </row>
    <row r="836" spans="1:7" ht="18">
      <c r="A836" s="317"/>
      <c r="B836" s="317"/>
      <c r="C836" s="317"/>
      <c r="D836" s="317"/>
      <c r="E836" s="317"/>
      <c r="F836" s="317"/>
      <c r="G836" s="317"/>
    </row>
    <row r="837" spans="1:7" ht="18">
      <c r="A837" s="317"/>
      <c r="B837" s="317"/>
      <c r="C837" s="317"/>
      <c r="D837" s="317"/>
      <c r="E837" s="317"/>
      <c r="F837" s="317"/>
      <c r="G837" s="317"/>
    </row>
    <row r="838" spans="1:7" ht="18">
      <c r="A838" s="317"/>
      <c r="B838" s="317"/>
      <c r="C838" s="317"/>
      <c r="D838" s="317"/>
      <c r="E838" s="317"/>
      <c r="F838" s="317"/>
      <c r="G838" s="317"/>
    </row>
    <row r="839" spans="1:7" ht="18">
      <c r="A839" s="317"/>
      <c r="B839" s="317"/>
      <c r="C839" s="317"/>
      <c r="D839" s="317"/>
      <c r="E839" s="317"/>
      <c r="F839" s="317"/>
      <c r="G839" s="317"/>
    </row>
    <row r="840" spans="1:7" ht="18">
      <c r="A840" s="317"/>
      <c r="B840" s="317"/>
      <c r="C840" s="317"/>
      <c r="D840" s="317"/>
      <c r="E840" s="317"/>
      <c r="F840" s="317"/>
      <c r="G840" s="317"/>
    </row>
    <row r="841" spans="1:7" ht="18">
      <c r="A841" s="317"/>
      <c r="B841" s="317"/>
      <c r="C841" s="317"/>
      <c r="D841" s="317"/>
      <c r="E841" s="317"/>
      <c r="F841" s="317"/>
      <c r="G841" s="317"/>
    </row>
    <row r="842" spans="1:7" ht="18">
      <c r="A842" s="317"/>
      <c r="B842" s="317"/>
      <c r="C842" s="317"/>
      <c r="D842" s="317"/>
      <c r="E842" s="317"/>
      <c r="F842" s="317"/>
      <c r="G842" s="317"/>
    </row>
    <row r="843" spans="1:7" ht="18">
      <c r="A843" s="317"/>
      <c r="B843" s="317"/>
      <c r="C843" s="317"/>
      <c r="D843" s="317"/>
      <c r="E843" s="317"/>
      <c r="F843" s="317"/>
      <c r="G843" s="317"/>
    </row>
    <row r="844" spans="1:7" ht="18">
      <c r="A844" s="317"/>
      <c r="B844" s="317"/>
      <c r="C844" s="317"/>
      <c r="D844" s="317"/>
      <c r="E844" s="317"/>
      <c r="F844" s="317"/>
      <c r="G844" s="317"/>
    </row>
    <row r="845" spans="1:7" ht="18">
      <c r="A845" s="317"/>
      <c r="B845" s="317"/>
      <c r="C845" s="317"/>
      <c r="D845" s="317"/>
      <c r="E845" s="317"/>
      <c r="F845" s="317"/>
      <c r="G845" s="317"/>
    </row>
    <row r="846" spans="1:7" ht="18">
      <c r="A846" s="317"/>
      <c r="B846" s="317"/>
      <c r="C846" s="317"/>
      <c r="D846" s="317"/>
      <c r="E846" s="317"/>
      <c r="F846" s="317"/>
      <c r="G846" s="317"/>
    </row>
    <row r="847" spans="1:7" ht="18">
      <c r="A847" s="317"/>
      <c r="B847" s="317"/>
      <c r="C847" s="317"/>
      <c r="D847" s="317"/>
      <c r="E847" s="317"/>
      <c r="F847" s="317"/>
      <c r="G847" s="317"/>
    </row>
    <row r="848" spans="1:7" ht="18">
      <c r="A848" s="317"/>
      <c r="B848" s="317"/>
      <c r="C848" s="317"/>
      <c r="D848" s="317"/>
      <c r="E848" s="317"/>
      <c r="F848" s="317"/>
      <c r="G848" s="317"/>
    </row>
    <row r="849" spans="1:7" ht="18">
      <c r="A849" s="317"/>
      <c r="B849" s="317"/>
      <c r="C849" s="317"/>
      <c r="D849" s="317"/>
      <c r="E849" s="317"/>
      <c r="F849" s="317"/>
      <c r="G849" s="317"/>
    </row>
    <row r="850" spans="1:7" ht="18">
      <c r="A850" s="317"/>
      <c r="B850" s="317"/>
      <c r="C850" s="317"/>
      <c r="D850" s="317"/>
      <c r="E850" s="317"/>
      <c r="F850" s="317"/>
      <c r="G850" s="317"/>
    </row>
    <row r="851" spans="1:7" ht="18">
      <c r="A851" s="317"/>
      <c r="B851" s="317"/>
      <c r="C851" s="317"/>
      <c r="D851" s="317"/>
      <c r="E851" s="317"/>
      <c r="F851" s="317"/>
      <c r="G851" s="317"/>
    </row>
    <row r="852" spans="1:7" ht="18">
      <c r="A852" s="317"/>
      <c r="B852" s="317"/>
      <c r="C852" s="317"/>
      <c r="D852" s="317"/>
      <c r="E852" s="317"/>
      <c r="F852" s="317"/>
      <c r="G852" s="317"/>
    </row>
    <row r="853" spans="1:7" ht="18">
      <c r="A853" s="317"/>
      <c r="B853" s="317"/>
      <c r="C853" s="317"/>
      <c r="D853" s="317"/>
      <c r="E853" s="317"/>
      <c r="F853" s="317"/>
      <c r="G853" s="317"/>
    </row>
    <row r="854" spans="1:7" ht="18">
      <c r="A854" s="317"/>
      <c r="B854" s="317"/>
      <c r="C854" s="317"/>
      <c r="D854" s="317"/>
      <c r="E854" s="317"/>
      <c r="F854" s="317"/>
      <c r="G854" s="317"/>
    </row>
    <row r="855" spans="1:7" ht="18">
      <c r="A855" s="317"/>
      <c r="B855" s="317"/>
      <c r="C855" s="317"/>
      <c r="D855" s="317"/>
      <c r="E855" s="317"/>
      <c r="F855" s="317"/>
      <c r="G855" s="317"/>
    </row>
    <row r="856" spans="1:7" ht="18">
      <c r="A856" s="317"/>
      <c r="B856" s="317"/>
      <c r="C856" s="317"/>
      <c r="D856" s="317"/>
      <c r="E856" s="317"/>
      <c r="F856" s="317"/>
      <c r="G856" s="317"/>
    </row>
    <row r="857" spans="1:7" ht="18">
      <c r="A857" s="317"/>
      <c r="B857" s="317"/>
      <c r="C857" s="317"/>
      <c r="D857" s="317"/>
      <c r="E857" s="317"/>
      <c r="F857" s="317"/>
      <c r="G857" s="317"/>
    </row>
    <row r="858" spans="1:7" ht="18">
      <c r="A858" s="317"/>
      <c r="B858" s="317"/>
      <c r="C858" s="317"/>
      <c r="D858" s="317"/>
      <c r="E858" s="317"/>
      <c r="F858" s="317"/>
      <c r="G858" s="317"/>
    </row>
    <row r="859" spans="1:7" ht="18">
      <c r="A859" s="317"/>
      <c r="B859" s="317"/>
      <c r="C859" s="317"/>
      <c r="D859" s="317"/>
      <c r="E859" s="317"/>
      <c r="F859" s="317"/>
      <c r="G859" s="317"/>
    </row>
    <row r="860" spans="1:7" ht="18">
      <c r="A860" s="317"/>
      <c r="B860" s="317"/>
      <c r="C860" s="317"/>
      <c r="D860" s="317"/>
      <c r="E860" s="317"/>
      <c r="F860" s="317"/>
      <c r="G860" s="317"/>
    </row>
    <row r="861" spans="1:7" ht="18">
      <c r="A861" s="317"/>
      <c r="B861" s="317"/>
      <c r="C861" s="317"/>
      <c r="D861" s="317"/>
      <c r="E861" s="317"/>
      <c r="F861" s="317"/>
      <c r="G861" s="317"/>
    </row>
    <row r="862" spans="1:7" ht="18">
      <c r="A862" s="317"/>
      <c r="B862" s="317"/>
      <c r="C862" s="317"/>
      <c r="D862" s="317"/>
      <c r="E862" s="317"/>
      <c r="F862" s="317"/>
      <c r="G862" s="317"/>
    </row>
    <row r="863" spans="1:7" ht="18">
      <c r="A863" s="317"/>
      <c r="B863" s="317"/>
      <c r="C863" s="317"/>
      <c r="D863" s="317"/>
      <c r="E863" s="317"/>
      <c r="F863" s="317"/>
      <c r="G863" s="317"/>
    </row>
    <row r="864" spans="1:7" ht="18">
      <c r="A864" s="317"/>
      <c r="B864" s="317"/>
      <c r="C864" s="317"/>
      <c r="D864" s="317"/>
      <c r="E864" s="317"/>
      <c r="F864" s="317"/>
      <c r="G864" s="317"/>
    </row>
    <row r="865" spans="1:7" ht="18">
      <c r="A865" s="317"/>
      <c r="B865" s="317"/>
      <c r="C865" s="317"/>
      <c r="D865" s="317"/>
      <c r="E865" s="317"/>
      <c r="F865" s="317"/>
      <c r="G865" s="317"/>
    </row>
    <row r="866" spans="1:7" ht="18">
      <c r="A866" s="317"/>
      <c r="B866" s="317"/>
      <c r="C866" s="317"/>
      <c r="D866" s="317"/>
      <c r="E866" s="317"/>
      <c r="F866" s="317"/>
      <c r="G866" s="317"/>
    </row>
    <row r="867" spans="1:7" ht="18">
      <c r="A867" s="317"/>
      <c r="B867" s="317"/>
      <c r="C867" s="317"/>
      <c r="D867" s="317"/>
      <c r="E867" s="317"/>
      <c r="F867" s="317"/>
      <c r="G867" s="317"/>
    </row>
    <row r="868" spans="1:7" ht="18">
      <c r="A868" s="317"/>
      <c r="B868" s="317"/>
      <c r="C868" s="317"/>
      <c r="D868" s="317"/>
      <c r="E868" s="317"/>
      <c r="F868" s="317"/>
      <c r="G868" s="317"/>
    </row>
    <row r="869" spans="1:7" ht="18">
      <c r="A869" s="317"/>
      <c r="B869" s="317"/>
      <c r="C869" s="317"/>
      <c r="D869" s="317"/>
      <c r="E869" s="317"/>
      <c r="F869" s="317"/>
      <c r="G869" s="317"/>
    </row>
    <row r="870" spans="1:7" ht="18">
      <c r="A870" s="317"/>
      <c r="B870" s="317"/>
      <c r="C870" s="317"/>
      <c r="D870" s="317"/>
      <c r="E870" s="317"/>
      <c r="F870" s="317"/>
      <c r="G870" s="317"/>
    </row>
    <row r="871" spans="1:7" ht="18">
      <c r="A871" s="317"/>
      <c r="B871" s="317"/>
      <c r="C871" s="317"/>
      <c r="D871" s="317"/>
      <c r="E871" s="317"/>
      <c r="F871" s="317"/>
      <c r="G871" s="317"/>
    </row>
    <row r="872" spans="1:7" ht="18">
      <c r="A872" s="317"/>
      <c r="B872" s="317"/>
      <c r="C872" s="317"/>
      <c r="D872" s="317"/>
      <c r="E872" s="317"/>
      <c r="F872" s="317"/>
      <c r="G872" s="317"/>
    </row>
    <row r="873" spans="1:7" ht="18">
      <c r="A873" s="317"/>
      <c r="B873" s="317"/>
      <c r="C873" s="317"/>
      <c r="D873" s="317"/>
      <c r="E873" s="317"/>
      <c r="F873" s="317"/>
      <c r="G873" s="317"/>
    </row>
    <row r="874" spans="1:7" ht="18">
      <c r="A874" s="317"/>
      <c r="B874" s="317"/>
      <c r="C874" s="317"/>
      <c r="D874" s="317"/>
      <c r="E874" s="317"/>
      <c r="F874" s="317"/>
      <c r="G874" s="317"/>
    </row>
    <row r="875" spans="1:7" ht="18">
      <c r="A875" s="317"/>
      <c r="B875" s="317"/>
      <c r="C875" s="317"/>
      <c r="D875" s="317"/>
      <c r="E875" s="317"/>
      <c r="F875" s="317"/>
      <c r="G875" s="317"/>
    </row>
    <row r="876" spans="1:7" ht="18">
      <c r="A876" s="317"/>
      <c r="B876" s="317"/>
      <c r="C876" s="317"/>
      <c r="D876" s="317"/>
      <c r="E876" s="317"/>
      <c r="F876" s="317"/>
      <c r="G876" s="317"/>
    </row>
    <row r="877" spans="1:7" ht="18">
      <c r="A877" s="317"/>
      <c r="B877" s="317"/>
      <c r="C877" s="317"/>
      <c r="D877" s="317"/>
      <c r="E877" s="317"/>
      <c r="F877" s="317"/>
      <c r="G877" s="317"/>
    </row>
    <row r="878" spans="1:7" ht="18">
      <c r="A878" s="317"/>
      <c r="B878" s="317"/>
      <c r="C878" s="317"/>
      <c r="D878" s="317"/>
      <c r="E878" s="317"/>
      <c r="F878" s="317"/>
      <c r="G878" s="317"/>
    </row>
    <row r="879" spans="1:7" ht="18">
      <c r="A879" s="317"/>
      <c r="B879" s="317"/>
      <c r="C879" s="317"/>
      <c r="D879" s="317"/>
      <c r="E879" s="317"/>
      <c r="F879" s="317"/>
      <c r="G879" s="317"/>
    </row>
    <row r="880" spans="1:7" ht="18">
      <c r="A880" s="317"/>
      <c r="B880" s="317"/>
      <c r="C880" s="317"/>
      <c r="D880" s="317"/>
      <c r="E880" s="317"/>
      <c r="F880" s="317"/>
      <c r="G880" s="317"/>
    </row>
    <row r="881" spans="1:7" ht="18">
      <c r="A881" s="317"/>
      <c r="B881" s="317"/>
      <c r="C881" s="317"/>
      <c r="D881" s="317"/>
      <c r="E881" s="317"/>
      <c r="F881" s="317"/>
      <c r="G881" s="317"/>
    </row>
    <row r="882" spans="1:7" ht="18">
      <c r="A882" s="317"/>
      <c r="B882" s="317"/>
      <c r="C882" s="317"/>
      <c r="D882" s="317"/>
      <c r="E882" s="317"/>
      <c r="F882" s="317"/>
      <c r="G882" s="317"/>
    </row>
    <row r="883" spans="1:7" ht="18">
      <c r="A883" s="317"/>
      <c r="B883" s="317"/>
      <c r="C883" s="317"/>
      <c r="D883" s="317"/>
      <c r="E883" s="317"/>
      <c r="F883" s="317"/>
      <c r="G883" s="317"/>
    </row>
    <row r="884" spans="1:7" ht="18">
      <c r="A884" s="317"/>
      <c r="B884" s="317"/>
      <c r="C884" s="317"/>
      <c r="D884" s="317"/>
      <c r="E884" s="317"/>
      <c r="F884" s="317"/>
      <c r="G884" s="317"/>
    </row>
    <row r="885" spans="1:7" ht="18">
      <c r="A885" s="317"/>
      <c r="B885" s="317"/>
      <c r="C885" s="317"/>
      <c r="D885" s="317"/>
      <c r="E885" s="317"/>
      <c r="F885" s="317"/>
      <c r="G885" s="317"/>
    </row>
    <row r="886" spans="1:7" ht="18">
      <c r="A886" s="317"/>
      <c r="B886" s="317"/>
      <c r="C886" s="317"/>
      <c r="D886" s="317"/>
      <c r="E886" s="317"/>
      <c r="F886" s="317"/>
      <c r="G886" s="317"/>
    </row>
    <row r="887" spans="1:7" ht="18">
      <c r="A887" s="317"/>
      <c r="B887" s="317"/>
      <c r="C887" s="317"/>
      <c r="D887" s="317"/>
      <c r="E887" s="317"/>
      <c r="F887" s="317"/>
      <c r="G887" s="317"/>
    </row>
    <row r="888" spans="1:7" ht="18">
      <c r="A888" s="317"/>
      <c r="B888" s="317"/>
      <c r="C888" s="317"/>
      <c r="D888" s="317"/>
      <c r="E888" s="317"/>
      <c r="F888" s="317"/>
      <c r="G888" s="317"/>
    </row>
    <row r="889" spans="1:7" ht="18">
      <c r="A889" s="317"/>
      <c r="B889" s="317"/>
      <c r="C889" s="317"/>
      <c r="D889" s="317"/>
      <c r="E889" s="317"/>
      <c r="F889" s="317"/>
      <c r="G889" s="317"/>
    </row>
    <row r="890" spans="1:7" ht="18">
      <c r="A890" s="317"/>
      <c r="B890" s="317"/>
      <c r="C890" s="317"/>
      <c r="D890" s="317"/>
      <c r="E890" s="317"/>
      <c r="F890" s="317"/>
      <c r="G890" s="317"/>
    </row>
    <row r="891" spans="1:7" ht="18">
      <c r="A891" s="317"/>
      <c r="B891" s="317"/>
      <c r="C891" s="317"/>
      <c r="D891" s="317"/>
      <c r="E891" s="317"/>
      <c r="F891" s="317"/>
      <c r="G891" s="317"/>
    </row>
    <row r="892" spans="1:7" ht="18">
      <c r="A892" s="317"/>
      <c r="B892" s="317"/>
      <c r="C892" s="317"/>
      <c r="D892" s="317"/>
      <c r="E892" s="317"/>
      <c r="F892" s="317"/>
      <c r="G892" s="317"/>
    </row>
    <row r="893" spans="1:7" ht="18">
      <c r="A893" s="317"/>
      <c r="B893" s="317"/>
      <c r="C893" s="317"/>
      <c r="D893" s="317"/>
      <c r="E893" s="317"/>
      <c r="F893" s="317"/>
      <c r="G893" s="317"/>
    </row>
    <row r="894" spans="1:7" ht="18">
      <c r="A894" s="317"/>
      <c r="B894" s="317"/>
      <c r="C894" s="317"/>
      <c r="D894" s="317"/>
      <c r="E894" s="317"/>
      <c r="F894" s="317"/>
      <c r="G894" s="317"/>
    </row>
    <row r="895" spans="1:7" ht="18">
      <c r="A895" s="317"/>
      <c r="B895" s="317"/>
      <c r="C895" s="317"/>
      <c r="D895" s="317"/>
      <c r="E895" s="317"/>
      <c r="F895" s="317"/>
      <c r="G895" s="317"/>
    </row>
    <row r="896" spans="1:7" ht="18">
      <c r="A896" s="317"/>
      <c r="B896" s="317"/>
      <c r="C896" s="317"/>
      <c r="D896" s="317"/>
      <c r="E896" s="317"/>
      <c r="F896" s="317"/>
      <c r="G896" s="317"/>
    </row>
    <row r="897" spans="1:7" ht="18">
      <c r="A897" s="317"/>
      <c r="B897" s="317"/>
      <c r="C897" s="317"/>
      <c r="D897" s="317"/>
      <c r="E897" s="317"/>
      <c r="F897" s="317"/>
      <c r="G897" s="317"/>
    </row>
    <row r="898" spans="1:7" ht="18">
      <c r="A898" s="317"/>
      <c r="B898" s="317"/>
      <c r="C898" s="317"/>
      <c r="D898" s="317"/>
      <c r="E898" s="317"/>
      <c r="F898" s="317"/>
      <c r="G898" s="317"/>
    </row>
    <row r="899" spans="1:7" ht="18">
      <c r="A899" s="317"/>
      <c r="B899" s="317"/>
      <c r="C899" s="317"/>
      <c r="D899" s="317"/>
      <c r="E899" s="317"/>
      <c r="F899" s="317"/>
      <c r="G899" s="317"/>
    </row>
    <row r="900" spans="1:7" ht="18">
      <c r="A900" s="317"/>
      <c r="B900" s="317"/>
      <c r="C900" s="317"/>
      <c r="D900" s="317"/>
      <c r="E900" s="317"/>
      <c r="F900" s="317"/>
      <c r="G900" s="317"/>
    </row>
    <row r="901" spans="1:7" ht="18">
      <c r="A901" s="317"/>
      <c r="B901" s="317"/>
      <c r="C901" s="317"/>
      <c r="D901" s="317"/>
      <c r="E901" s="317"/>
      <c r="F901" s="317"/>
      <c r="G901" s="317"/>
    </row>
    <row r="902" spans="1:7" ht="18">
      <c r="A902" s="317"/>
      <c r="B902" s="317"/>
      <c r="C902" s="317"/>
      <c r="D902" s="317"/>
      <c r="E902" s="317"/>
      <c r="F902" s="317"/>
      <c r="G902" s="317"/>
    </row>
    <row r="903" spans="1:7" ht="18">
      <c r="A903" s="317"/>
      <c r="B903" s="317"/>
      <c r="C903" s="317"/>
      <c r="D903" s="317"/>
      <c r="E903" s="317"/>
      <c r="F903" s="317"/>
      <c r="G903" s="317"/>
    </row>
    <row r="904" spans="1:7" ht="18">
      <c r="A904" s="317"/>
      <c r="B904" s="317"/>
      <c r="C904" s="317"/>
      <c r="D904" s="317"/>
      <c r="E904" s="317"/>
      <c r="F904" s="317"/>
      <c r="G904" s="317"/>
    </row>
    <row r="905" spans="1:7" ht="18">
      <c r="A905" s="317"/>
      <c r="B905" s="317"/>
      <c r="C905" s="317"/>
      <c r="D905" s="317"/>
      <c r="E905" s="317"/>
      <c r="F905" s="317"/>
      <c r="G905" s="317"/>
    </row>
    <row r="906" spans="1:7" ht="18">
      <c r="A906" s="317"/>
      <c r="B906" s="317"/>
      <c r="C906" s="317"/>
      <c r="D906" s="317"/>
      <c r="E906" s="317"/>
      <c r="F906" s="317"/>
      <c r="G906" s="317"/>
    </row>
    <row r="907" spans="1:7" ht="18">
      <c r="A907" s="317"/>
      <c r="B907" s="317"/>
      <c r="C907" s="317"/>
      <c r="D907" s="317"/>
      <c r="E907" s="317"/>
      <c r="F907" s="317"/>
      <c r="G907" s="317"/>
    </row>
    <row r="908" spans="1:7" ht="18">
      <c r="A908" s="317"/>
      <c r="B908" s="317"/>
      <c r="C908" s="317"/>
      <c r="D908" s="317"/>
      <c r="E908" s="317"/>
      <c r="F908" s="317"/>
      <c r="G908" s="317"/>
    </row>
    <row r="909" spans="1:7" ht="18">
      <c r="A909" s="317"/>
      <c r="B909" s="317"/>
      <c r="C909" s="317"/>
      <c r="D909" s="317"/>
      <c r="E909" s="317"/>
      <c r="F909" s="317"/>
      <c r="G909" s="317"/>
    </row>
    <row r="910" spans="1:7" ht="18">
      <c r="A910" s="317"/>
      <c r="B910" s="317"/>
      <c r="C910" s="317"/>
      <c r="D910" s="317"/>
      <c r="E910" s="317"/>
      <c r="F910" s="317"/>
      <c r="G910" s="317"/>
    </row>
    <row r="911" spans="1:7" ht="18">
      <c r="A911" s="317"/>
      <c r="B911" s="317"/>
      <c r="C911" s="317"/>
      <c r="D911" s="317"/>
      <c r="E911" s="317"/>
      <c r="F911" s="317"/>
      <c r="G911" s="317"/>
    </row>
    <row r="912" spans="1:7" ht="18">
      <c r="A912" s="317"/>
      <c r="B912" s="317"/>
      <c r="C912" s="317"/>
      <c r="D912" s="317"/>
      <c r="E912" s="317"/>
      <c r="F912" s="317"/>
      <c r="G912" s="317"/>
    </row>
    <row r="913" spans="1:7" ht="18">
      <c r="A913" s="317"/>
      <c r="B913" s="317"/>
      <c r="C913" s="317"/>
      <c r="D913" s="317"/>
      <c r="E913" s="317"/>
      <c r="F913" s="317"/>
      <c r="G913" s="317"/>
    </row>
    <row r="914" spans="1:7" ht="18">
      <c r="A914" s="317"/>
      <c r="B914" s="317"/>
      <c r="C914" s="317"/>
      <c r="D914" s="317"/>
      <c r="E914" s="317"/>
      <c r="F914" s="317"/>
      <c r="G914" s="317"/>
    </row>
    <row r="915" spans="1:7" ht="18">
      <c r="A915" s="317"/>
      <c r="B915" s="317"/>
      <c r="C915" s="317"/>
      <c r="D915" s="317"/>
      <c r="E915" s="317"/>
      <c r="F915" s="317"/>
      <c r="G915" s="317"/>
    </row>
    <row r="916" spans="1:7" ht="18">
      <c r="A916" s="317"/>
      <c r="B916" s="317"/>
      <c r="C916" s="317"/>
      <c r="D916" s="317"/>
      <c r="E916" s="317"/>
      <c r="F916" s="317"/>
      <c r="G916" s="317"/>
    </row>
    <row r="917" spans="1:7" ht="18">
      <c r="A917" s="317"/>
      <c r="B917" s="317"/>
      <c r="C917" s="317"/>
      <c r="D917" s="317"/>
      <c r="E917" s="317"/>
      <c r="F917" s="317"/>
      <c r="G917" s="317"/>
    </row>
    <row r="918" spans="1:7" ht="18">
      <c r="A918" s="317"/>
      <c r="B918" s="317"/>
      <c r="C918" s="317"/>
      <c r="D918" s="317"/>
      <c r="E918" s="317"/>
      <c r="F918" s="317"/>
      <c r="G918" s="317"/>
    </row>
    <row r="919" spans="1:7" ht="18">
      <c r="A919" s="317"/>
      <c r="B919" s="317"/>
      <c r="C919" s="317"/>
      <c r="D919" s="317"/>
      <c r="E919" s="317"/>
      <c r="F919" s="317"/>
      <c r="G919" s="317"/>
    </row>
    <row r="920" spans="1:7" ht="18">
      <c r="A920" s="317"/>
      <c r="B920" s="317"/>
      <c r="C920" s="317"/>
      <c r="D920" s="317"/>
      <c r="E920" s="317"/>
      <c r="F920" s="317"/>
      <c r="G920" s="317"/>
    </row>
    <row r="921" spans="1:7" ht="18">
      <c r="A921" s="317"/>
      <c r="B921" s="317"/>
      <c r="C921" s="317"/>
      <c r="D921" s="317"/>
      <c r="E921" s="317"/>
      <c r="F921" s="317"/>
      <c r="G921" s="317"/>
    </row>
    <row r="922" spans="1:7" ht="18">
      <c r="A922" s="317"/>
      <c r="B922" s="317"/>
      <c r="C922" s="317"/>
      <c r="D922" s="317"/>
      <c r="E922" s="317"/>
      <c r="F922" s="317"/>
      <c r="G922" s="317"/>
    </row>
    <row r="923" spans="1:7" ht="18">
      <c r="A923" s="317"/>
      <c r="B923" s="317"/>
      <c r="C923" s="317"/>
      <c r="D923" s="317"/>
      <c r="E923" s="317"/>
      <c r="F923" s="317"/>
      <c r="G923" s="317"/>
    </row>
    <row r="924" spans="1:7" ht="18">
      <c r="A924" s="317"/>
      <c r="B924" s="317"/>
      <c r="C924" s="317"/>
      <c r="D924" s="317"/>
      <c r="E924" s="317"/>
      <c r="F924" s="317"/>
      <c r="G924" s="317"/>
    </row>
    <row r="925" spans="1:7" ht="18">
      <c r="A925" s="317"/>
      <c r="B925" s="317"/>
      <c r="C925" s="317"/>
      <c r="D925" s="317"/>
      <c r="E925" s="317"/>
      <c r="F925" s="317"/>
      <c r="G925" s="317"/>
    </row>
    <row r="926" spans="1:7" ht="18">
      <c r="A926" s="317"/>
      <c r="B926" s="317"/>
      <c r="C926" s="317"/>
      <c r="D926" s="317"/>
      <c r="E926" s="317"/>
      <c r="F926" s="317"/>
      <c r="G926" s="317"/>
    </row>
    <row r="927" spans="1:7" ht="18">
      <c r="A927" s="317"/>
      <c r="B927" s="317"/>
      <c r="C927" s="317"/>
      <c r="D927" s="317"/>
      <c r="E927" s="317"/>
      <c r="F927" s="317"/>
      <c r="G927" s="317"/>
    </row>
    <row r="928" spans="1:7" ht="18">
      <c r="A928" s="317"/>
      <c r="B928" s="317"/>
      <c r="C928" s="317"/>
      <c r="D928" s="317"/>
      <c r="E928" s="317"/>
      <c r="F928" s="317"/>
      <c r="G928" s="317"/>
    </row>
    <row r="929" spans="1:7" ht="18">
      <c r="A929" s="317"/>
      <c r="B929" s="317"/>
      <c r="C929" s="317"/>
      <c r="D929" s="317"/>
      <c r="E929" s="317"/>
      <c r="F929" s="317"/>
      <c r="G929" s="317"/>
    </row>
    <row r="930" spans="1:7" ht="18">
      <c r="A930" s="317"/>
      <c r="B930" s="317"/>
      <c r="C930" s="317"/>
      <c r="D930" s="317"/>
      <c r="E930" s="317"/>
      <c r="F930" s="317"/>
      <c r="G930" s="317"/>
    </row>
    <row r="931" spans="1:7" ht="18">
      <c r="A931" s="317"/>
      <c r="B931" s="317"/>
      <c r="C931" s="317"/>
      <c r="D931" s="317"/>
      <c r="E931" s="317"/>
      <c r="F931" s="317"/>
      <c r="G931" s="317"/>
    </row>
    <row r="932" spans="1:7" ht="18">
      <c r="A932" s="317"/>
      <c r="B932" s="317"/>
      <c r="C932" s="317"/>
      <c r="D932" s="317"/>
      <c r="E932" s="317"/>
      <c r="F932" s="317"/>
      <c r="G932" s="317"/>
    </row>
    <row r="933" spans="1:7" ht="18">
      <c r="A933" s="317"/>
      <c r="B933" s="317"/>
      <c r="C933" s="317"/>
      <c r="D933" s="317"/>
      <c r="E933" s="317"/>
      <c r="F933" s="317"/>
      <c r="G933" s="317"/>
    </row>
    <row r="934" spans="1:7" ht="18">
      <c r="A934" s="317"/>
      <c r="B934" s="317"/>
      <c r="C934" s="317"/>
      <c r="D934" s="317"/>
      <c r="E934" s="317"/>
      <c r="F934" s="317"/>
      <c r="G934" s="317"/>
    </row>
    <row r="935" spans="1:7" ht="18">
      <c r="A935" s="317"/>
      <c r="B935" s="317"/>
      <c r="C935" s="317"/>
      <c r="D935" s="317"/>
      <c r="E935" s="317"/>
      <c r="F935" s="317"/>
      <c r="G935" s="317"/>
    </row>
    <row r="936" spans="1:7" ht="18">
      <c r="A936" s="317"/>
      <c r="B936" s="317"/>
      <c r="C936" s="317"/>
      <c r="D936" s="317"/>
      <c r="E936" s="317"/>
      <c r="F936" s="317"/>
      <c r="G936" s="317"/>
    </row>
    <row r="937" spans="1:7" ht="18">
      <c r="A937" s="317"/>
      <c r="B937" s="317"/>
      <c r="C937" s="317"/>
      <c r="D937" s="317"/>
      <c r="E937" s="317"/>
      <c r="F937" s="317"/>
      <c r="G937" s="317"/>
    </row>
    <row r="938" spans="1:7" ht="18">
      <c r="A938" s="317"/>
      <c r="B938" s="317"/>
      <c r="C938" s="317"/>
      <c r="D938" s="317"/>
      <c r="E938" s="317"/>
      <c r="F938" s="317"/>
      <c r="G938" s="317"/>
    </row>
    <row r="939" spans="1:7" ht="18">
      <c r="A939" s="317"/>
      <c r="B939" s="317"/>
      <c r="C939" s="317"/>
      <c r="D939" s="317"/>
      <c r="E939" s="317"/>
      <c r="F939" s="317"/>
      <c r="G939" s="317"/>
    </row>
    <row r="940" spans="1:7" ht="18">
      <c r="A940" s="317"/>
      <c r="B940" s="317"/>
      <c r="C940" s="317"/>
      <c r="D940" s="317"/>
      <c r="E940" s="317"/>
      <c r="F940" s="317"/>
      <c r="G940" s="317"/>
    </row>
    <row r="941" spans="1:7" ht="18">
      <c r="A941" s="317"/>
      <c r="B941" s="317"/>
      <c r="C941" s="317"/>
      <c r="D941" s="317"/>
      <c r="E941" s="317"/>
      <c r="F941" s="317"/>
      <c r="G941" s="317"/>
    </row>
    <row r="942" spans="1:7" ht="18">
      <c r="A942" s="317"/>
      <c r="B942" s="317"/>
      <c r="C942" s="317"/>
      <c r="D942" s="317"/>
      <c r="E942" s="317"/>
      <c r="F942" s="317"/>
      <c r="G942" s="317"/>
    </row>
    <row r="943" spans="1:7" ht="18">
      <c r="A943" s="317"/>
      <c r="B943" s="317"/>
      <c r="C943" s="317"/>
      <c r="D943" s="317"/>
      <c r="E943" s="317"/>
      <c r="F943" s="317"/>
      <c r="G943" s="317"/>
    </row>
    <row r="944" spans="1:7" ht="18">
      <c r="A944" s="317"/>
      <c r="B944" s="317"/>
      <c r="C944" s="317"/>
      <c r="D944" s="317"/>
      <c r="E944" s="317"/>
      <c r="F944" s="317"/>
      <c r="G944" s="317"/>
    </row>
    <row r="945" spans="1:7" ht="18">
      <c r="A945" s="317"/>
      <c r="B945" s="317"/>
      <c r="C945" s="317"/>
      <c r="D945" s="317"/>
      <c r="E945" s="317"/>
      <c r="F945" s="317"/>
      <c r="G945" s="317"/>
    </row>
    <row r="946" spans="1:7" ht="18">
      <c r="A946" s="317"/>
      <c r="B946" s="317"/>
      <c r="C946" s="317"/>
      <c r="D946" s="317"/>
      <c r="E946" s="317"/>
      <c r="F946" s="317"/>
      <c r="G946" s="317"/>
    </row>
    <row r="947" spans="1:7" ht="18">
      <c r="A947" s="317"/>
      <c r="B947" s="317"/>
      <c r="C947" s="317"/>
      <c r="D947" s="317"/>
      <c r="E947" s="317"/>
      <c r="F947" s="317"/>
      <c r="G947" s="317"/>
    </row>
    <row r="948" spans="1:7" ht="18">
      <c r="A948" s="317"/>
      <c r="B948" s="317"/>
      <c r="C948" s="317"/>
      <c r="D948" s="317"/>
      <c r="E948" s="317"/>
      <c r="F948" s="317"/>
      <c r="G948" s="317"/>
    </row>
    <row r="949" spans="1:7" ht="18">
      <c r="A949" s="317"/>
      <c r="B949" s="317"/>
      <c r="C949" s="317"/>
      <c r="D949" s="317"/>
      <c r="E949" s="317"/>
      <c r="F949" s="317"/>
      <c r="G949" s="317"/>
    </row>
    <row r="950" spans="1:7" ht="18">
      <c r="A950" s="317"/>
      <c r="B950" s="317"/>
      <c r="C950" s="317"/>
      <c r="D950" s="317"/>
      <c r="E950" s="317"/>
      <c r="F950" s="317"/>
      <c r="G950" s="317"/>
    </row>
    <row r="951" spans="1:7" ht="18">
      <c r="A951" s="317"/>
      <c r="B951" s="317"/>
      <c r="C951" s="317"/>
      <c r="D951" s="317"/>
      <c r="E951" s="317"/>
      <c r="F951" s="317"/>
      <c r="G951" s="317"/>
    </row>
    <row r="952" spans="1:7" ht="18">
      <c r="A952" s="317"/>
      <c r="B952" s="317"/>
      <c r="C952" s="317"/>
      <c r="D952" s="317"/>
      <c r="E952" s="317"/>
      <c r="F952" s="317"/>
      <c r="G952" s="317"/>
    </row>
    <row r="953" spans="1:7" ht="18">
      <c r="A953" s="317"/>
      <c r="B953" s="317"/>
      <c r="C953" s="317"/>
      <c r="D953" s="317"/>
      <c r="E953" s="317"/>
      <c r="F953" s="317"/>
      <c r="G953" s="317"/>
    </row>
    <row r="954" spans="1:7" ht="18">
      <c r="A954" s="317"/>
      <c r="B954" s="317"/>
      <c r="C954" s="317"/>
      <c r="D954" s="317"/>
      <c r="E954" s="317"/>
      <c r="F954" s="317"/>
      <c r="G954" s="317"/>
    </row>
    <row r="955" spans="1:7" ht="18">
      <c r="A955" s="317"/>
      <c r="B955" s="317"/>
      <c r="C955" s="317"/>
      <c r="D955" s="317"/>
      <c r="E955" s="317"/>
      <c r="F955" s="317"/>
      <c r="G955" s="317"/>
    </row>
    <row r="956" spans="1:7" ht="18">
      <c r="A956" s="317"/>
      <c r="B956" s="317"/>
      <c r="C956" s="317"/>
      <c r="D956" s="317"/>
      <c r="E956" s="317"/>
      <c r="F956" s="317"/>
      <c r="G956" s="317"/>
    </row>
    <row r="957" spans="1:7" ht="18">
      <c r="A957" s="317"/>
      <c r="B957" s="317"/>
      <c r="C957" s="317"/>
      <c r="D957" s="317"/>
      <c r="E957" s="317"/>
      <c r="F957" s="317"/>
      <c r="G957" s="317"/>
    </row>
    <row r="958" spans="1:7" ht="18">
      <c r="A958" s="317"/>
      <c r="B958" s="317"/>
      <c r="C958" s="317"/>
      <c r="D958" s="317"/>
      <c r="E958" s="317"/>
      <c r="F958" s="317"/>
      <c r="G958" s="317"/>
    </row>
    <row r="959" spans="1:7" ht="18">
      <c r="A959" s="317"/>
      <c r="B959" s="317"/>
      <c r="C959" s="317"/>
      <c r="D959" s="317"/>
      <c r="E959" s="317"/>
      <c r="F959" s="317"/>
      <c r="G959" s="317"/>
    </row>
    <row r="960" spans="1:7" ht="18">
      <c r="A960" s="317"/>
      <c r="B960" s="317"/>
      <c r="C960" s="317"/>
      <c r="D960" s="317"/>
      <c r="E960" s="317"/>
      <c r="F960" s="317"/>
      <c r="G960" s="317"/>
    </row>
    <row r="961" spans="1:7" ht="18">
      <c r="A961" s="317"/>
      <c r="B961" s="317"/>
      <c r="C961" s="317"/>
      <c r="D961" s="317"/>
      <c r="E961" s="317"/>
      <c r="F961" s="317"/>
      <c r="G961" s="317"/>
    </row>
    <row r="962" spans="1:7" ht="18">
      <c r="A962" s="317"/>
      <c r="B962" s="317"/>
      <c r="C962" s="317"/>
      <c r="D962" s="317"/>
      <c r="E962" s="317"/>
      <c r="F962" s="317"/>
      <c r="G962" s="317"/>
    </row>
    <row r="963" spans="1:7" ht="18">
      <c r="A963" s="317"/>
      <c r="B963" s="317"/>
      <c r="C963" s="317"/>
      <c r="D963" s="317"/>
      <c r="E963" s="317"/>
      <c r="F963" s="317"/>
      <c r="G963" s="317"/>
    </row>
    <row r="964" spans="1:7" ht="18">
      <c r="A964" s="317"/>
      <c r="B964" s="317"/>
      <c r="C964" s="317"/>
      <c r="D964" s="317"/>
      <c r="E964" s="317"/>
      <c r="F964" s="317"/>
      <c r="G964" s="317"/>
    </row>
    <row r="965" spans="1:7" ht="18">
      <c r="A965" s="317"/>
      <c r="B965" s="317"/>
      <c r="C965" s="317"/>
      <c r="D965" s="317"/>
      <c r="E965" s="317"/>
      <c r="F965" s="317"/>
      <c r="G965" s="317"/>
    </row>
    <row r="966" spans="1:7" ht="18">
      <c r="A966" s="317"/>
      <c r="B966" s="317"/>
      <c r="C966" s="317"/>
      <c r="D966" s="317"/>
      <c r="E966" s="317"/>
      <c r="F966" s="317"/>
      <c r="G966" s="317"/>
    </row>
    <row r="967" spans="1:7" ht="18">
      <c r="A967" s="317"/>
      <c r="B967" s="317"/>
      <c r="C967" s="317"/>
      <c r="D967" s="317"/>
      <c r="E967" s="317"/>
      <c r="F967" s="317"/>
      <c r="G967" s="317"/>
    </row>
    <row r="968" spans="1:7" ht="18">
      <c r="A968" s="317"/>
      <c r="B968" s="317"/>
      <c r="C968" s="317"/>
      <c r="D968" s="317"/>
      <c r="E968" s="317"/>
      <c r="F968" s="317"/>
      <c r="G968" s="317"/>
    </row>
    <row r="969" spans="1:7" ht="18">
      <c r="A969" s="317"/>
      <c r="B969" s="317"/>
      <c r="C969" s="317"/>
      <c r="D969" s="317"/>
      <c r="E969" s="317"/>
      <c r="F969" s="317"/>
      <c r="G969" s="317"/>
    </row>
    <row r="970" spans="1:7" ht="18">
      <c r="A970" s="317"/>
      <c r="B970" s="317"/>
      <c r="C970" s="317"/>
      <c r="D970" s="317"/>
      <c r="E970" s="317"/>
      <c r="F970" s="317"/>
      <c r="G970" s="317"/>
    </row>
    <row r="971" spans="1:7" ht="18">
      <c r="A971" s="317"/>
      <c r="B971" s="317"/>
      <c r="C971" s="317"/>
      <c r="D971" s="317"/>
      <c r="E971" s="317"/>
      <c r="F971" s="317"/>
      <c r="G971" s="317"/>
    </row>
    <row r="972" spans="1:7" ht="18">
      <c r="A972" s="317"/>
      <c r="B972" s="317"/>
      <c r="C972" s="317"/>
      <c r="D972" s="317"/>
      <c r="E972" s="317"/>
      <c r="F972" s="317"/>
      <c r="G972" s="317"/>
    </row>
    <row r="973" spans="1:7" ht="18">
      <c r="A973" s="317"/>
      <c r="B973" s="317"/>
      <c r="C973" s="317"/>
      <c r="D973" s="317"/>
      <c r="E973" s="317"/>
      <c r="F973" s="317"/>
      <c r="G973" s="317"/>
    </row>
    <row r="974" spans="1:7" ht="18">
      <c r="A974" s="317"/>
      <c r="B974" s="317"/>
      <c r="C974" s="317"/>
      <c r="D974" s="317"/>
      <c r="E974" s="317"/>
      <c r="F974" s="317"/>
      <c r="G974" s="317"/>
    </row>
    <row r="975" spans="1:7" ht="18">
      <c r="A975" s="317"/>
      <c r="B975" s="317"/>
      <c r="C975" s="317"/>
      <c r="D975" s="317"/>
      <c r="E975" s="317"/>
      <c r="F975" s="317"/>
      <c r="G975" s="317"/>
    </row>
    <row r="976" spans="1:7" ht="18">
      <c r="A976" s="317"/>
      <c r="B976" s="317"/>
      <c r="C976" s="317"/>
      <c r="D976" s="317"/>
      <c r="E976" s="317"/>
      <c r="F976" s="317"/>
      <c r="G976" s="317"/>
    </row>
    <row r="977" spans="1:7" ht="18">
      <c r="A977" s="317"/>
      <c r="B977" s="317"/>
      <c r="C977" s="317"/>
      <c r="D977" s="317"/>
      <c r="E977" s="317"/>
      <c r="F977" s="317"/>
      <c r="G977" s="317"/>
    </row>
    <row r="978" spans="1:7" ht="18">
      <c r="A978" s="317"/>
      <c r="B978" s="317"/>
      <c r="C978" s="317"/>
      <c r="D978" s="317"/>
      <c r="E978" s="317"/>
      <c r="F978" s="317"/>
      <c r="G978" s="317"/>
    </row>
    <row r="979" spans="1:7" ht="18">
      <c r="A979" s="317"/>
      <c r="B979" s="317"/>
      <c r="C979" s="317"/>
      <c r="D979" s="317"/>
      <c r="E979" s="317"/>
      <c r="F979" s="317"/>
      <c r="G979" s="317"/>
    </row>
    <row r="980" spans="1:7" ht="18">
      <c r="A980" s="317"/>
      <c r="B980" s="317"/>
      <c r="C980" s="317"/>
      <c r="D980" s="317"/>
      <c r="E980" s="317"/>
      <c r="F980" s="317"/>
      <c r="G980" s="317"/>
    </row>
    <row r="981" spans="1:7" ht="18">
      <c r="A981" s="317"/>
      <c r="B981" s="317"/>
      <c r="C981" s="317"/>
      <c r="D981" s="317"/>
      <c r="E981" s="317"/>
      <c r="F981" s="317"/>
      <c r="G981" s="317"/>
    </row>
    <row r="982" spans="1:7" ht="18">
      <c r="A982" s="317"/>
      <c r="B982" s="317"/>
      <c r="C982" s="317"/>
      <c r="D982" s="317"/>
      <c r="E982" s="317"/>
      <c r="F982" s="317"/>
      <c r="G982" s="317"/>
    </row>
    <row r="983" spans="1:7" ht="18">
      <c r="A983" s="317"/>
      <c r="B983" s="317"/>
      <c r="C983" s="317"/>
      <c r="D983" s="317"/>
      <c r="E983" s="317"/>
      <c r="F983" s="317"/>
      <c r="G983" s="317"/>
    </row>
    <row r="984" spans="1:7" ht="18">
      <c r="A984" s="317"/>
      <c r="B984" s="317"/>
      <c r="C984" s="317"/>
      <c r="D984" s="317"/>
      <c r="E984" s="317"/>
      <c r="F984" s="317"/>
      <c r="G984" s="317"/>
    </row>
    <row r="985" spans="1:7" ht="18">
      <c r="A985" s="317"/>
      <c r="B985" s="317"/>
      <c r="C985" s="317"/>
      <c r="D985" s="317"/>
      <c r="E985" s="317"/>
      <c r="F985" s="317"/>
      <c r="G985" s="317"/>
    </row>
    <row r="986" spans="1:7" ht="18">
      <c r="A986" s="317"/>
      <c r="B986" s="317"/>
      <c r="C986" s="317"/>
      <c r="D986" s="317"/>
      <c r="E986" s="317"/>
      <c r="F986" s="317"/>
      <c r="G986" s="317"/>
    </row>
    <row r="987" spans="1:7" ht="18">
      <c r="A987" s="317"/>
      <c r="B987" s="317"/>
      <c r="C987" s="317"/>
      <c r="D987" s="317"/>
      <c r="E987" s="317"/>
      <c r="F987" s="317"/>
      <c r="G987" s="317"/>
    </row>
    <row r="988" spans="1:7" ht="18">
      <c r="A988" s="317"/>
      <c r="B988" s="317"/>
      <c r="C988" s="317"/>
      <c r="D988" s="317"/>
      <c r="E988" s="317"/>
      <c r="F988" s="317"/>
      <c r="G988" s="317"/>
    </row>
    <row r="989" spans="1:7" ht="18">
      <c r="A989" s="317"/>
      <c r="B989" s="317"/>
      <c r="C989" s="317"/>
      <c r="D989" s="317"/>
      <c r="E989" s="317"/>
      <c r="F989" s="317"/>
      <c r="G989" s="317"/>
    </row>
    <row r="990" spans="1:7" ht="18">
      <c r="A990" s="317"/>
      <c r="B990" s="317"/>
      <c r="C990" s="317"/>
      <c r="D990" s="317"/>
      <c r="E990" s="317"/>
      <c r="F990" s="317"/>
      <c r="G990" s="317"/>
    </row>
    <row r="991" spans="1:7" ht="18">
      <c r="A991" s="317"/>
      <c r="B991" s="317"/>
      <c r="C991" s="317"/>
      <c r="D991" s="317"/>
      <c r="E991" s="317"/>
      <c r="F991" s="317"/>
      <c r="G991" s="317"/>
    </row>
    <row r="992" spans="1:7" ht="18">
      <c r="A992" s="317"/>
      <c r="B992" s="317"/>
      <c r="C992" s="317"/>
      <c r="D992" s="317"/>
      <c r="E992" s="317"/>
      <c r="F992" s="317"/>
      <c r="G992" s="317"/>
    </row>
    <row r="993" spans="1:7" ht="18">
      <c r="A993" s="317"/>
      <c r="B993" s="317"/>
      <c r="C993" s="317"/>
      <c r="D993" s="317"/>
      <c r="E993" s="317"/>
      <c r="F993" s="317"/>
      <c r="G993" s="317"/>
    </row>
    <row r="994" spans="1:7" ht="18">
      <c r="A994" s="317"/>
      <c r="B994" s="317"/>
      <c r="C994" s="317"/>
      <c r="D994" s="317"/>
      <c r="E994" s="317"/>
      <c r="F994" s="317"/>
      <c r="G994" s="317"/>
    </row>
    <row r="995" spans="1:7" ht="18">
      <c r="A995" s="317"/>
      <c r="B995" s="317"/>
      <c r="C995" s="317"/>
      <c r="D995" s="317"/>
      <c r="E995" s="317"/>
      <c r="F995" s="317"/>
      <c r="G995" s="317"/>
    </row>
    <row r="996" spans="1:7" ht="18">
      <c r="A996" s="317"/>
      <c r="B996" s="317"/>
      <c r="C996" s="317"/>
      <c r="D996" s="317"/>
      <c r="E996" s="317"/>
      <c r="F996" s="317"/>
      <c r="G996" s="317"/>
    </row>
    <row r="997" spans="1:7" ht="18">
      <c r="A997" s="317"/>
      <c r="B997" s="317"/>
      <c r="C997" s="317"/>
      <c r="D997" s="317"/>
      <c r="E997" s="317"/>
      <c r="F997" s="317"/>
      <c r="G997" s="317"/>
    </row>
    <row r="998" spans="1:7" ht="18">
      <c r="A998" s="317"/>
      <c r="B998" s="317"/>
      <c r="C998" s="317"/>
      <c r="D998" s="317"/>
      <c r="E998" s="317"/>
      <c r="F998" s="317"/>
      <c r="G998" s="317"/>
    </row>
    <row r="999" spans="1:7" ht="18">
      <c r="A999" s="317"/>
      <c r="B999" s="317"/>
      <c r="C999" s="317"/>
      <c r="D999" s="317"/>
      <c r="E999" s="317"/>
      <c r="F999" s="317"/>
      <c r="G999" s="317"/>
    </row>
    <row r="1000" spans="1:7" ht="18">
      <c r="A1000" s="317"/>
      <c r="B1000" s="317"/>
      <c r="C1000" s="317"/>
      <c r="D1000" s="317"/>
      <c r="E1000" s="317"/>
      <c r="F1000" s="317"/>
      <c r="G1000" s="317"/>
    </row>
    <row r="1001" spans="1:7" ht="18">
      <c r="A1001" s="317"/>
      <c r="B1001" s="317"/>
      <c r="C1001" s="317"/>
      <c r="D1001" s="317"/>
      <c r="E1001" s="317"/>
      <c r="F1001" s="317"/>
      <c r="G1001" s="317"/>
    </row>
    <row r="1002" spans="1:7" ht="18">
      <c r="A1002" s="317"/>
      <c r="B1002" s="317"/>
      <c r="C1002" s="317"/>
      <c r="D1002" s="317"/>
      <c r="E1002" s="317"/>
      <c r="F1002" s="317"/>
      <c r="G1002" s="317"/>
    </row>
    <row r="1003" spans="1:7" ht="18">
      <c r="A1003" s="317"/>
      <c r="B1003" s="317"/>
      <c r="C1003" s="317"/>
      <c r="D1003" s="317"/>
      <c r="E1003" s="317"/>
      <c r="F1003" s="317"/>
      <c r="G1003" s="317"/>
    </row>
  </sheetData>
  <sheetProtection algorithmName="SHA-512" hashValue="H/K8sCw4GQUbKPjHzSbWB+RE5y9yHJdWz3oKbnigZRzNMQM5k44yq0bYqomAi69oSSeOd5g7PGuZ0OWT9m8yIQ==" saltValue="fwzj64qPc2DjpWUfDLw6hA==" spinCount="100000" sheet="1" objects="1" scenarios="1"/>
  <mergeCells count="13">
    <mergeCell ref="B62:D62"/>
    <mergeCell ref="F62:G62"/>
    <mergeCell ref="B63:D63"/>
    <mergeCell ref="F63:G63"/>
    <mergeCell ref="A66:G66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3E36E-17BD-4D5A-943C-55FBA75051F2}">
  <dimension ref="A1:J998"/>
  <sheetViews>
    <sheetView topLeftCell="A34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8" width="8.85546875" style="314"/>
    <col min="9" max="10" width="13.140625" style="314" bestFit="1" customWidth="1"/>
    <col min="11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5" t="s">
        <v>611</v>
      </c>
      <c r="B5" s="315"/>
      <c r="C5" s="315"/>
      <c r="D5" s="566" t="s">
        <v>266</v>
      </c>
      <c r="E5" s="315"/>
      <c r="F5" s="315"/>
      <c r="G5" s="315"/>
    </row>
    <row r="6" spans="1:7" ht="15.6" customHeight="1" thickTop="1" thickBot="1">
      <c r="A6" s="1228" t="s">
        <v>16</v>
      </c>
      <c r="B6" s="1228" t="s">
        <v>267</v>
      </c>
      <c r="C6" s="1230" t="s">
        <v>612</v>
      </c>
      <c r="D6" s="1231" t="s">
        <v>613</v>
      </c>
      <c r="E6" s="1272"/>
      <c r="F6" s="1273"/>
      <c r="G6" s="1230" t="s">
        <v>614</v>
      </c>
    </row>
    <row r="7" spans="1:7" ht="35.25" thickTop="1">
      <c r="A7" s="1234"/>
      <c r="B7" s="1271"/>
      <c r="C7" s="1271"/>
      <c r="D7" s="320" t="s">
        <v>21</v>
      </c>
      <c r="E7" s="320" t="s">
        <v>22</v>
      </c>
      <c r="F7" s="1228" t="s">
        <v>23</v>
      </c>
      <c r="G7" s="1271"/>
    </row>
    <row r="8" spans="1:7" ht="18">
      <c r="A8" s="1234"/>
      <c r="B8" s="1271"/>
      <c r="C8" s="1271"/>
      <c r="D8" s="321" t="s">
        <v>24</v>
      </c>
      <c r="E8" s="321" t="s">
        <v>25</v>
      </c>
      <c r="F8" s="1271"/>
      <c r="G8" s="1271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5"/>
      <c r="C10" s="326"/>
      <c r="D10" s="326"/>
      <c r="E10" s="326"/>
      <c r="F10" s="326"/>
      <c r="G10" s="380"/>
    </row>
    <row r="11" spans="1:7" ht="18">
      <c r="A11" s="328" t="s">
        <v>34</v>
      </c>
      <c r="B11" s="329"/>
      <c r="C11" s="330"/>
      <c r="D11" s="330"/>
      <c r="E11" s="330"/>
      <c r="F11" s="330"/>
      <c r="G11" s="381"/>
    </row>
    <row r="12" spans="1:7" ht="18">
      <c r="A12" s="333" t="s">
        <v>35</v>
      </c>
      <c r="B12" s="334"/>
      <c r="C12" s="335"/>
      <c r="D12" s="335"/>
      <c r="E12" s="335"/>
      <c r="F12" s="335"/>
      <c r="G12" s="383"/>
    </row>
    <row r="13" spans="1:7" ht="18">
      <c r="A13" s="338" t="s">
        <v>36</v>
      </c>
      <c r="B13" s="339" t="s">
        <v>37</v>
      </c>
      <c r="C13" s="36">
        <v>3233832</v>
      </c>
      <c r="D13" s="36">
        <v>1745352.52</v>
      </c>
      <c r="E13" s="36">
        <f t="shared" ref="E13:E14" si="0">F13-D13</f>
        <v>3057395.48</v>
      </c>
      <c r="F13" s="37">
        <v>4802748</v>
      </c>
      <c r="G13" s="37">
        <v>5111060</v>
      </c>
    </row>
    <row r="14" spans="1:7" ht="18">
      <c r="A14" s="567" t="s">
        <v>615</v>
      </c>
      <c r="B14" s="339" t="s">
        <v>39</v>
      </c>
      <c r="C14" s="36">
        <v>1185162</v>
      </c>
      <c r="D14" s="36">
        <v>515394</v>
      </c>
      <c r="E14" s="36">
        <f t="shared" si="0"/>
        <v>989250</v>
      </c>
      <c r="F14" s="37">
        <v>1504644</v>
      </c>
      <c r="G14" s="37">
        <v>1598670</v>
      </c>
    </row>
    <row r="15" spans="1:7" ht="18">
      <c r="A15" s="333" t="s">
        <v>40</v>
      </c>
      <c r="B15" s="360"/>
      <c r="C15" s="36"/>
      <c r="D15" s="36"/>
      <c r="E15" s="36"/>
      <c r="F15" s="37"/>
      <c r="G15" s="37"/>
    </row>
    <row r="16" spans="1:7" ht="18">
      <c r="A16" s="359" t="s">
        <v>41</v>
      </c>
      <c r="B16" s="339" t="s">
        <v>42</v>
      </c>
      <c r="C16" s="36">
        <v>423636.4</v>
      </c>
      <c r="D16" s="36">
        <v>204000</v>
      </c>
      <c r="E16" s="36">
        <f t="shared" ref="E16:E17" si="1">F16-D16</f>
        <v>348000</v>
      </c>
      <c r="F16" s="37">
        <v>552000</v>
      </c>
      <c r="G16" s="37">
        <v>552000</v>
      </c>
    </row>
    <row r="17" spans="1:10" ht="18">
      <c r="A17" s="359" t="s">
        <v>47</v>
      </c>
      <c r="B17" s="339" t="s">
        <v>48</v>
      </c>
      <c r="C17" s="36">
        <v>102000</v>
      </c>
      <c r="D17" s="38">
        <v>102000</v>
      </c>
      <c r="E17" s="36">
        <f t="shared" si="1"/>
        <v>36000</v>
      </c>
      <c r="F17" s="37">
        <v>138000</v>
      </c>
      <c r="G17" s="37">
        <v>161000</v>
      </c>
    </row>
    <row r="18" spans="1:10" ht="18">
      <c r="A18" s="338" t="s">
        <v>49</v>
      </c>
      <c r="B18" s="339" t="s">
        <v>50</v>
      </c>
      <c r="C18" s="38">
        <v>85000</v>
      </c>
      <c r="D18" s="38">
        <v>0</v>
      </c>
      <c r="E18" s="36">
        <v>115000</v>
      </c>
      <c r="F18" s="37">
        <v>115000</v>
      </c>
      <c r="G18" s="37">
        <v>115000</v>
      </c>
    </row>
    <row r="19" spans="1:10" ht="18">
      <c r="A19" s="359" t="s">
        <v>268</v>
      </c>
      <c r="B19" s="360" t="s">
        <v>269</v>
      </c>
      <c r="C19" s="36">
        <v>37500</v>
      </c>
      <c r="D19" s="36">
        <v>37500</v>
      </c>
      <c r="E19" s="36">
        <f t="shared" ref="E19:E23" si="2">F19-D19</f>
        <v>268500</v>
      </c>
      <c r="F19" s="37">
        <v>306000</v>
      </c>
      <c r="G19" s="37">
        <v>306000</v>
      </c>
    </row>
    <row r="20" spans="1:10" ht="18">
      <c r="A20" s="359" t="s">
        <v>51</v>
      </c>
      <c r="B20" s="360" t="s">
        <v>52</v>
      </c>
      <c r="C20" s="38">
        <v>0</v>
      </c>
      <c r="D20" s="38">
        <v>0</v>
      </c>
      <c r="E20" s="36">
        <f t="shared" si="2"/>
        <v>180000</v>
      </c>
      <c r="F20" s="37">
        <v>180000</v>
      </c>
      <c r="G20" s="37">
        <v>100000</v>
      </c>
    </row>
    <row r="21" spans="1:10" ht="18">
      <c r="A21" s="338" t="s">
        <v>53</v>
      </c>
      <c r="B21" s="339" t="s">
        <v>54</v>
      </c>
      <c r="C21" s="36">
        <v>355385</v>
      </c>
      <c r="D21" s="38">
        <v>0</v>
      </c>
      <c r="E21" s="36">
        <f t="shared" si="2"/>
        <v>525616</v>
      </c>
      <c r="F21" s="37">
        <v>525616</v>
      </c>
      <c r="G21" s="37">
        <v>573563</v>
      </c>
    </row>
    <row r="22" spans="1:10" ht="18">
      <c r="A22" s="338" t="s">
        <v>55</v>
      </c>
      <c r="B22" s="339" t="s">
        <v>56</v>
      </c>
      <c r="C22" s="36">
        <v>85000</v>
      </c>
      <c r="D22" s="38">
        <v>0</v>
      </c>
      <c r="E22" s="36">
        <f t="shared" si="2"/>
        <v>115000</v>
      </c>
      <c r="F22" s="37">
        <v>115000</v>
      </c>
      <c r="G22" s="37">
        <v>115000</v>
      </c>
    </row>
    <row r="23" spans="1:10" ht="18">
      <c r="A23" s="338" t="s">
        <v>57</v>
      </c>
      <c r="B23" s="339" t="s">
        <v>58</v>
      </c>
      <c r="C23" s="36">
        <v>342385</v>
      </c>
      <c r="D23" s="36">
        <v>380171</v>
      </c>
      <c r="E23" s="36">
        <f t="shared" si="2"/>
        <v>145445</v>
      </c>
      <c r="F23" s="37">
        <v>525616</v>
      </c>
      <c r="G23" s="37">
        <v>548845</v>
      </c>
    </row>
    <row r="24" spans="1:10" ht="18">
      <c r="A24" s="338" t="s">
        <v>557</v>
      </c>
      <c r="B24" s="339" t="s">
        <v>58</v>
      </c>
      <c r="C24" s="36">
        <v>0</v>
      </c>
      <c r="D24" s="36">
        <v>0</v>
      </c>
      <c r="E24" s="36"/>
      <c r="F24" s="37"/>
      <c r="G24" s="37">
        <v>161000</v>
      </c>
    </row>
    <row r="25" spans="1:10" ht="18">
      <c r="A25" s="340" t="s">
        <v>59</v>
      </c>
      <c r="B25" s="339"/>
      <c r="C25" s="36"/>
      <c r="D25" s="36"/>
      <c r="E25" s="36"/>
      <c r="F25" s="37"/>
      <c r="G25" s="37"/>
    </row>
    <row r="26" spans="1:10" ht="18">
      <c r="A26" s="338" t="s">
        <v>60</v>
      </c>
      <c r="B26" s="339" t="s">
        <v>61</v>
      </c>
      <c r="C26" s="36">
        <v>530392.74</v>
      </c>
      <c r="D26" s="36">
        <v>271324.46999999997</v>
      </c>
      <c r="E26" s="36">
        <f t="shared" ref="E26:E29" si="3">F26-D26</f>
        <v>485562.57000000007</v>
      </c>
      <c r="F26" s="37">
        <v>756887.04000000004</v>
      </c>
      <c r="G26" s="37">
        <v>805167.5</v>
      </c>
    </row>
    <row r="27" spans="1:10" ht="18">
      <c r="A27" s="338" t="s">
        <v>62</v>
      </c>
      <c r="B27" s="339" t="s">
        <v>63</v>
      </c>
      <c r="C27" s="36">
        <v>21200</v>
      </c>
      <c r="D27" s="36">
        <v>18762.52</v>
      </c>
      <c r="E27" s="36">
        <f t="shared" si="3"/>
        <v>8837.48</v>
      </c>
      <c r="F27" s="37">
        <v>27600</v>
      </c>
      <c r="G27" s="37">
        <v>55200</v>
      </c>
      <c r="I27" s="558"/>
    </row>
    <row r="28" spans="1:10" ht="18">
      <c r="A28" s="338" t="s">
        <v>64</v>
      </c>
      <c r="B28" s="339" t="s">
        <v>65</v>
      </c>
      <c r="C28" s="36">
        <v>88379.88</v>
      </c>
      <c r="D28" s="36">
        <v>60078.07</v>
      </c>
      <c r="E28" s="36">
        <f t="shared" si="3"/>
        <v>81838.37</v>
      </c>
      <c r="F28" s="37">
        <v>141916.44</v>
      </c>
      <c r="G28" s="37">
        <v>129531.5</v>
      </c>
    </row>
    <row r="29" spans="1:10" ht="18">
      <c r="A29" s="341" t="s">
        <v>66</v>
      </c>
      <c r="B29" s="342" t="s">
        <v>67</v>
      </c>
      <c r="C29" s="72">
        <v>21200</v>
      </c>
      <c r="D29" s="72">
        <v>10200</v>
      </c>
      <c r="E29" s="72">
        <f t="shared" si="3"/>
        <v>17400</v>
      </c>
      <c r="F29" s="123">
        <v>27600</v>
      </c>
      <c r="G29" s="123">
        <v>27600</v>
      </c>
    </row>
    <row r="30" spans="1:10" ht="18">
      <c r="A30" s="340" t="s">
        <v>68</v>
      </c>
      <c r="B30" s="568"/>
      <c r="C30" s="36"/>
      <c r="D30" s="36"/>
      <c r="E30" s="36"/>
      <c r="F30" s="37"/>
      <c r="G30" s="37"/>
    </row>
    <row r="31" spans="1:10" ht="18.75" thickBot="1">
      <c r="A31" s="426" t="s">
        <v>558</v>
      </c>
      <c r="B31" s="398" t="s">
        <v>520</v>
      </c>
      <c r="C31" s="48">
        <v>0</v>
      </c>
      <c r="D31" s="48">
        <v>0</v>
      </c>
      <c r="E31" s="48"/>
      <c r="F31" s="49"/>
      <c r="G31" s="49">
        <v>269466.67</v>
      </c>
      <c r="J31" s="122"/>
    </row>
    <row r="32" spans="1:10" ht="19.5" thickTop="1" thickBot="1">
      <c r="A32" s="351" t="s">
        <v>71</v>
      </c>
      <c r="B32" s="352"/>
      <c r="C32" s="75">
        <f t="shared" ref="C32:F32" si="4">SUM(C13:C29)</f>
        <v>6511073.0200000005</v>
      </c>
      <c r="D32" s="75">
        <f t="shared" si="4"/>
        <v>3344782.58</v>
      </c>
      <c r="E32" s="75">
        <f t="shared" si="4"/>
        <v>6373844.9000000013</v>
      </c>
      <c r="F32" s="75">
        <f t="shared" si="4"/>
        <v>9718627.4799999986</v>
      </c>
      <c r="G32" s="75">
        <f>SUM(G13:G31)</f>
        <v>10629103.67</v>
      </c>
    </row>
    <row r="33" spans="1:10" ht="18.75" thickTop="1">
      <c r="A33" s="324" t="s">
        <v>72</v>
      </c>
      <c r="B33" s="569"/>
      <c r="C33" s="570"/>
      <c r="D33" s="570"/>
      <c r="E33" s="570"/>
      <c r="F33" s="570"/>
      <c r="G33" s="571"/>
    </row>
    <row r="34" spans="1:10" ht="18">
      <c r="A34" s="572" t="s">
        <v>270</v>
      </c>
      <c r="B34" s="573" t="s">
        <v>74</v>
      </c>
      <c r="C34" s="227">
        <v>0</v>
      </c>
      <c r="D34" s="228">
        <v>10000</v>
      </c>
      <c r="E34" s="229">
        <f t="shared" ref="E34:E40" si="5">F34-D34</f>
        <v>50000</v>
      </c>
      <c r="F34" s="230">
        <v>60000</v>
      </c>
      <c r="G34" s="230">
        <v>60000</v>
      </c>
    </row>
    <row r="35" spans="1:10" ht="18">
      <c r="A35" s="572" t="s">
        <v>224</v>
      </c>
      <c r="B35" s="573" t="s">
        <v>78</v>
      </c>
      <c r="C35" s="227">
        <v>0</v>
      </c>
      <c r="D35" s="228">
        <v>0</v>
      </c>
      <c r="E35" s="38">
        <f t="shared" si="5"/>
        <v>300000</v>
      </c>
      <c r="F35" s="230">
        <v>300000</v>
      </c>
      <c r="G35" s="230">
        <v>300000</v>
      </c>
    </row>
    <row r="36" spans="1:10" ht="18">
      <c r="A36" s="572" t="s">
        <v>232</v>
      </c>
      <c r="B36" s="573" t="s">
        <v>82</v>
      </c>
      <c r="C36" s="227">
        <v>439381.8</v>
      </c>
      <c r="D36" s="228">
        <v>0</v>
      </c>
      <c r="E36" s="36">
        <f t="shared" si="5"/>
        <v>1140000</v>
      </c>
      <c r="F36" s="230">
        <v>1140000</v>
      </c>
      <c r="G36" s="230">
        <v>800000</v>
      </c>
    </row>
    <row r="37" spans="1:10" ht="18">
      <c r="A37" s="572" t="s">
        <v>217</v>
      </c>
      <c r="B37" s="573" t="s">
        <v>84</v>
      </c>
      <c r="C37" s="227">
        <v>60000</v>
      </c>
      <c r="D37" s="231">
        <v>20000</v>
      </c>
      <c r="E37" s="36">
        <f t="shared" si="5"/>
        <v>40000</v>
      </c>
      <c r="F37" s="230">
        <v>60000</v>
      </c>
      <c r="G37" s="230">
        <v>60000</v>
      </c>
    </row>
    <row r="38" spans="1:10" ht="18">
      <c r="A38" s="572" t="s">
        <v>239</v>
      </c>
      <c r="B38" s="573" t="s">
        <v>271</v>
      </c>
      <c r="C38" s="232">
        <v>1831702.67</v>
      </c>
      <c r="D38" s="231">
        <v>811117.7</v>
      </c>
      <c r="E38" s="36">
        <f t="shared" si="5"/>
        <v>1688882.3</v>
      </c>
      <c r="F38" s="230">
        <v>2500000</v>
      </c>
      <c r="G38" s="230">
        <v>1500000</v>
      </c>
    </row>
    <row r="39" spans="1:10" ht="18">
      <c r="A39" s="572" t="s">
        <v>199</v>
      </c>
      <c r="B39" s="573" t="s">
        <v>200</v>
      </c>
      <c r="C39" s="227">
        <v>0</v>
      </c>
      <c r="D39" s="228">
        <v>0</v>
      </c>
      <c r="E39" s="228">
        <v>0</v>
      </c>
      <c r="F39" s="228">
        <v>0</v>
      </c>
      <c r="G39" s="230">
        <f>645*22*12*2</f>
        <v>340560</v>
      </c>
    </row>
    <row r="40" spans="1:10" ht="18">
      <c r="A40" s="572" t="s">
        <v>272</v>
      </c>
      <c r="B40" s="573" t="s">
        <v>97</v>
      </c>
      <c r="C40" s="233">
        <v>0</v>
      </c>
      <c r="D40" s="228">
        <v>3000</v>
      </c>
      <c r="E40" s="36">
        <f t="shared" si="5"/>
        <v>27000</v>
      </c>
      <c r="F40" s="234">
        <v>30000</v>
      </c>
      <c r="G40" s="234">
        <v>30000</v>
      </c>
    </row>
    <row r="41" spans="1:10" ht="18">
      <c r="A41" s="572" t="s">
        <v>100</v>
      </c>
      <c r="B41" s="573" t="s">
        <v>101</v>
      </c>
      <c r="C41" s="227">
        <v>0</v>
      </c>
      <c r="D41" s="228">
        <v>0</v>
      </c>
      <c r="E41" s="228">
        <v>0</v>
      </c>
      <c r="F41" s="230">
        <v>60000</v>
      </c>
      <c r="G41" s="230">
        <v>60000</v>
      </c>
    </row>
    <row r="42" spans="1:10" ht="18">
      <c r="A42" s="572" t="s">
        <v>108</v>
      </c>
      <c r="B42" s="573" t="s">
        <v>109</v>
      </c>
      <c r="C42" s="232">
        <f>33028+180174.5</f>
        <v>213202.5</v>
      </c>
      <c r="D42" s="231"/>
      <c r="E42" s="231"/>
      <c r="F42" s="230"/>
      <c r="G42" s="230"/>
    </row>
    <row r="43" spans="1:10" ht="36">
      <c r="A43" s="574" t="s">
        <v>273</v>
      </c>
      <c r="B43" s="573"/>
      <c r="C43" s="227"/>
      <c r="D43" s="228">
        <v>26323</v>
      </c>
      <c r="E43" s="235">
        <f t="shared" ref="E43" si="6">F43-D43</f>
        <v>173677</v>
      </c>
      <c r="F43" s="230">
        <v>200000</v>
      </c>
      <c r="G43" s="230">
        <v>100000</v>
      </c>
    </row>
    <row r="44" spans="1:10" ht="18.75" thickBot="1">
      <c r="A44" s="575"/>
      <c r="B44" s="576"/>
      <c r="C44" s="236"/>
      <c r="D44" s="237"/>
      <c r="E44" s="73"/>
      <c r="F44" s="238"/>
      <c r="G44" s="238"/>
    </row>
    <row r="45" spans="1:10" ht="19.5" thickTop="1" thickBot="1">
      <c r="A45" s="351" t="s">
        <v>162</v>
      </c>
      <c r="B45" s="367"/>
      <c r="C45" s="75">
        <f>SUM(C34:C44)</f>
        <v>2544286.9699999997</v>
      </c>
      <c r="D45" s="75">
        <f>SUM(D34:D43)</f>
        <v>870440.7</v>
      </c>
      <c r="E45" s="75">
        <f>SUM(E34:E44)</f>
        <v>3419559.3</v>
      </c>
      <c r="F45" s="75">
        <f>SUM(F34:F44)</f>
        <v>4350000</v>
      </c>
      <c r="G45" s="75">
        <f>SUM(G34:G44)</f>
        <v>3250560</v>
      </c>
      <c r="I45" s="558"/>
      <c r="J45" s="558"/>
    </row>
    <row r="46" spans="1:10" ht="19.5" thickTop="1" thickBot="1">
      <c r="A46" s="351" t="s">
        <v>181</v>
      </c>
      <c r="B46" s="367"/>
      <c r="C46" s="75">
        <f>C32+C45</f>
        <v>9055359.9900000002</v>
      </c>
      <c r="D46" s="75">
        <f>D32+D45</f>
        <v>4215223.28</v>
      </c>
      <c r="E46" s="75">
        <f>E32+E45</f>
        <v>9793404.2000000011</v>
      </c>
      <c r="F46" s="75">
        <f>F32+F45</f>
        <v>14068627.479999999</v>
      </c>
      <c r="G46" s="75">
        <f>G32+G45</f>
        <v>13879663.67</v>
      </c>
    </row>
    <row r="47" spans="1:10" ht="18.75" thickTop="1">
      <c r="A47" s="317"/>
      <c r="B47" s="317"/>
      <c r="C47" s="317"/>
      <c r="D47" s="317"/>
      <c r="E47" s="317"/>
      <c r="F47" s="317"/>
      <c r="G47" s="317"/>
    </row>
    <row r="48" spans="1:10" ht="18">
      <c r="A48" s="317"/>
      <c r="B48" s="318"/>
      <c r="C48" s="317"/>
      <c r="D48" s="317"/>
      <c r="E48" s="317"/>
      <c r="F48" s="317"/>
      <c r="G48" s="317"/>
      <c r="J48" s="558"/>
    </row>
    <row r="49" spans="1:7" ht="18">
      <c r="A49" s="317"/>
      <c r="B49" s="317"/>
      <c r="C49" s="317"/>
      <c r="D49" s="317"/>
      <c r="E49" s="317"/>
      <c r="F49" s="317"/>
      <c r="G49" s="317"/>
    </row>
    <row r="50" spans="1:7" ht="18">
      <c r="A50" s="317"/>
      <c r="B50" s="317"/>
      <c r="C50" s="317"/>
      <c r="D50" s="317"/>
      <c r="E50" s="317"/>
      <c r="F50" s="317"/>
      <c r="G50" s="317"/>
    </row>
    <row r="51" spans="1:7" ht="18">
      <c r="A51" s="317"/>
      <c r="B51" s="317"/>
      <c r="C51" s="317"/>
      <c r="D51" s="317"/>
      <c r="E51" s="317"/>
      <c r="F51" s="317"/>
      <c r="G51" s="317"/>
    </row>
    <row r="52" spans="1:7" ht="18">
      <c r="A52" s="317"/>
      <c r="B52" s="317"/>
      <c r="C52" s="317"/>
      <c r="D52" s="317"/>
      <c r="E52" s="317"/>
      <c r="F52" s="317"/>
      <c r="G52" s="317"/>
    </row>
    <row r="53" spans="1:7" ht="18">
      <c r="A53" s="317"/>
      <c r="B53" s="317"/>
      <c r="C53" s="317"/>
      <c r="D53" s="317"/>
      <c r="E53" s="317"/>
      <c r="F53" s="317"/>
      <c r="G53" s="317"/>
    </row>
    <row r="54" spans="1:7" ht="18">
      <c r="A54" s="317"/>
      <c r="B54" s="317"/>
      <c r="C54" s="317"/>
      <c r="D54" s="317"/>
      <c r="E54" s="317"/>
      <c r="F54" s="317"/>
      <c r="G54" s="317"/>
    </row>
    <row r="55" spans="1:7" ht="18">
      <c r="A55" s="317"/>
      <c r="B55" s="317"/>
      <c r="C55" s="317"/>
      <c r="D55" s="317"/>
      <c r="E55" s="317"/>
      <c r="F55" s="317"/>
      <c r="G55" s="317"/>
    </row>
    <row r="56" spans="1:7" ht="18">
      <c r="A56" s="317"/>
      <c r="B56" s="317"/>
      <c r="C56" s="317"/>
      <c r="D56" s="317"/>
      <c r="E56" s="317"/>
      <c r="F56" s="317"/>
      <c r="G56" s="317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/>
      <c r="B58" s="317"/>
      <c r="C58" s="317"/>
      <c r="D58" s="317"/>
      <c r="E58" s="317"/>
      <c r="F58" s="317"/>
      <c r="G58" s="317"/>
    </row>
    <row r="59" spans="1:7" ht="18">
      <c r="A59" s="371"/>
      <c r="B59" s="1235"/>
      <c r="C59" s="1236"/>
      <c r="D59" s="1236"/>
      <c r="E59" s="372"/>
      <c r="F59" s="1237"/>
      <c r="G59" s="1241"/>
    </row>
    <row r="60" spans="1:7" ht="18">
      <c r="A60" s="317"/>
      <c r="B60" s="317"/>
      <c r="C60" s="317"/>
      <c r="D60" s="317"/>
      <c r="E60" s="317"/>
      <c r="F60" s="317"/>
      <c r="G60" s="317"/>
    </row>
    <row r="61" spans="1:7" ht="18">
      <c r="A61" s="317" t="s">
        <v>183</v>
      </c>
      <c r="B61" s="317" t="s">
        <v>184</v>
      </c>
      <c r="C61" s="317"/>
      <c r="D61" s="317"/>
      <c r="E61" s="317"/>
      <c r="F61" s="317" t="s">
        <v>185</v>
      </c>
      <c r="G61" s="317"/>
    </row>
    <row r="62" spans="1:7" ht="18">
      <c r="A62" s="317"/>
      <c r="B62" s="317"/>
      <c r="C62" s="317"/>
      <c r="D62" s="317"/>
      <c r="E62" s="317"/>
      <c r="F62" s="317"/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8">
      <c r="A64" s="317"/>
      <c r="B64" s="317"/>
      <c r="C64" s="317"/>
      <c r="D64" s="317"/>
      <c r="E64" s="317"/>
      <c r="F64" s="317"/>
      <c r="G64" s="317"/>
    </row>
    <row r="65" spans="1:7" ht="18">
      <c r="A65" s="317"/>
      <c r="B65" s="317"/>
      <c r="C65" s="317"/>
      <c r="D65" s="317"/>
      <c r="E65" s="317"/>
      <c r="F65" s="317"/>
      <c r="G65" s="31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09" t="s">
        <v>616</v>
      </c>
      <c r="B68" s="1239" t="s">
        <v>187</v>
      </c>
      <c r="C68" s="1236"/>
      <c r="D68" s="1236"/>
      <c r="E68" s="369"/>
      <c r="F68" s="1240" t="s">
        <v>188</v>
      </c>
      <c r="G68" s="1241"/>
    </row>
    <row r="69" spans="1:7" ht="18">
      <c r="A69" s="371" t="s">
        <v>274</v>
      </c>
      <c r="B69" s="1235" t="s">
        <v>190</v>
      </c>
      <c r="C69" s="1236"/>
      <c r="D69" s="1236"/>
      <c r="E69" s="372"/>
      <c r="F69" s="1237" t="s">
        <v>191</v>
      </c>
      <c r="G69" s="1241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6.5">
      <c r="A72" s="1238" t="s">
        <v>194</v>
      </c>
      <c r="B72" s="1238"/>
      <c r="C72" s="1238"/>
      <c r="D72" s="1238"/>
      <c r="E72" s="1238"/>
      <c r="F72" s="1238"/>
      <c r="G72" s="1238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 ht="18">
      <c r="A249" s="317"/>
      <c r="B249" s="317"/>
      <c r="C249" s="317"/>
      <c r="D249" s="317"/>
      <c r="E249" s="317"/>
      <c r="F249" s="317"/>
      <c r="G249" s="317"/>
    </row>
    <row r="250" spans="1:7" ht="18">
      <c r="A250" s="317"/>
      <c r="B250" s="317"/>
      <c r="C250" s="317"/>
      <c r="D250" s="317"/>
      <c r="E250" s="317"/>
      <c r="F250" s="317"/>
      <c r="G250" s="317"/>
    </row>
    <row r="251" spans="1:7" ht="18">
      <c r="A251" s="317"/>
      <c r="B251" s="317"/>
      <c r="C251" s="317"/>
      <c r="D251" s="317"/>
      <c r="E251" s="317"/>
      <c r="F251" s="317"/>
      <c r="G251" s="317"/>
    </row>
    <row r="252" spans="1:7" ht="18">
      <c r="A252" s="317"/>
      <c r="B252" s="317"/>
      <c r="C252" s="317"/>
      <c r="D252" s="317"/>
      <c r="E252" s="317"/>
      <c r="F252" s="317"/>
      <c r="G252" s="317"/>
    </row>
    <row r="253" spans="1:7" ht="18">
      <c r="A253" s="317"/>
      <c r="B253" s="317"/>
      <c r="C253" s="317"/>
      <c r="D253" s="317"/>
      <c r="E253" s="317"/>
      <c r="F253" s="317"/>
      <c r="G253" s="317"/>
    </row>
    <row r="254" spans="1:7" ht="18">
      <c r="A254" s="317"/>
      <c r="B254" s="317"/>
      <c r="C254" s="317"/>
      <c r="D254" s="317"/>
      <c r="E254" s="317"/>
      <c r="F254" s="317"/>
      <c r="G254" s="317"/>
    </row>
    <row r="255" spans="1:7" ht="18">
      <c r="A255" s="317"/>
      <c r="B255" s="317"/>
      <c r="C255" s="317"/>
      <c r="D255" s="317"/>
      <c r="E255" s="317"/>
      <c r="F255" s="317"/>
      <c r="G255" s="317"/>
    </row>
    <row r="256" spans="1:7" ht="18">
      <c r="A256" s="317"/>
      <c r="B256" s="317"/>
      <c r="C256" s="317"/>
      <c r="D256" s="317"/>
      <c r="E256" s="317"/>
      <c r="F256" s="317"/>
      <c r="G256" s="317"/>
    </row>
    <row r="257" spans="1:7" ht="18">
      <c r="A257" s="317"/>
      <c r="B257" s="317"/>
      <c r="C257" s="317"/>
      <c r="D257" s="317"/>
      <c r="E257" s="317"/>
      <c r="F257" s="317"/>
      <c r="G257" s="317"/>
    </row>
    <row r="258" spans="1:7" ht="18">
      <c r="A258" s="317"/>
      <c r="B258" s="317"/>
      <c r="C258" s="317"/>
      <c r="D258" s="317"/>
      <c r="E258" s="317"/>
      <c r="F258" s="317"/>
      <c r="G258" s="317"/>
    </row>
    <row r="259" spans="1:7" ht="18">
      <c r="A259" s="317"/>
      <c r="B259" s="317"/>
      <c r="C259" s="317"/>
      <c r="D259" s="317"/>
      <c r="E259" s="317"/>
      <c r="F259" s="317"/>
      <c r="G259" s="31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  <row r="994" spans="1:7">
      <c r="A994" s="377"/>
      <c r="B994" s="377"/>
      <c r="C994" s="377"/>
      <c r="D994" s="377"/>
      <c r="E994" s="377"/>
      <c r="F994" s="377"/>
      <c r="G994" s="377"/>
    </row>
    <row r="995" spans="1:7">
      <c r="A995" s="377"/>
      <c r="B995" s="377"/>
      <c r="C995" s="377"/>
      <c r="D995" s="377"/>
      <c r="E995" s="377"/>
      <c r="F995" s="377"/>
      <c r="G995" s="377"/>
    </row>
    <row r="996" spans="1:7">
      <c r="A996" s="377"/>
      <c r="B996" s="377"/>
      <c r="C996" s="377"/>
      <c r="D996" s="377"/>
      <c r="E996" s="377"/>
      <c r="F996" s="377"/>
      <c r="G996" s="377"/>
    </row>
    <row r="997" spans="1:7">
      <c r="A997" s="377"/>
      <c r="B997" s="377"/>
      <c r="C997" s="377"/>
      <c r="D997" s="377"/>
      <c r="E997" s="377"/>
      <c r="F997" s="377"/>
      <c r="G997" s="377"/>
    </row>
    <row r="998" spans="1:7">
      <c r="A998" s="377"/>
      <c r="B998" s="377"/>
      <c r="C998" s="377"/>
      <c r="D998" s="377"/>
      <c r="E998" s="377"/>
      <c r="F998" s="377"/>
      <c r="G998" s="377"/>
    </row>
  </sheetData>
  <sheetProtection algorithmName="SHA-512" hashValue="XkVQh6zNrJym0EowU4tYxH90MCYIFx1hlYLgIXMRRMLXtLlF2Fd9Tg4RLuYSFYNnF8+Bmm3d95kWKJOfdkCNuA==" saltValue="VdHR/2o/mMC70DuMtWr/mg==" spinCount="100000" sheet="1" objects="1" scenarios="1"/>
  <mergeCells count="15">
    <mergeCell ref="A72:G72"/>
    <mergeCell ref="B59:D59"/>
    <mergeCell ref="F59:G59"/>
    <mergeCell ref="B68:D68"/>
    <mergeCell ref="F68:G68"/>
    <mergeCell ref="B69:D69"/>
    <mergeCell ref="F69:G69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C7004-C207-4879-94E2-BAE2AFABA8EB}">
  <dimension ref="A1:Z998"/>
  <sheetViews>
    <sheetView topLeftCell="A49" workbookViewId="0">
      <selection activeCell="A98" sqref="A98:G98"/>
    </sheetView>
  </sheetViews>
  <sheetFormatPr defaultColWidth="8.85546875" defaultRowHeight="15"/>
  <cols>
    <col min="1" max="1" width="57.5703125" style="314" customWidth="1"/>
    <col min="2" max="2" width="14.28515625" style="314" customWidth="1"/>
    <col min="3" max="7" width="16.5703125" style="314" customWidth="1"/>
    <col min="8" max="9" width="8.85546875" style="314"/>
    <col min="10" max="10" width="13.5703125" style="314" bestFit="1" customWidth="1"/>
    <col min="11" max="11" width="14.7109375" style="314" bestFit="1" customWidth="1"/>
    <col min="12" max="16384" width="8.85546875" style="314"/>
  </cols>
  <sheetData>
    <row r="1" spans="1:26" ht="16.5" customHeight="1">
      <c r="A1" s="311" t="s">
        <v>13</v>
      </c>
      <c r="B1" s="312"/>
      <c r="C1" s="313"/>
      <c r="D1" s="313"/>
      <c r="E1" s="313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</row>
    <row r="2" spans="1:26" ht="18.75" customHeight="1">
      <c r="A2" s="1225" t="s">
        <v>0</v>
      </c>
      <c r="B2" s="1226"/>
      <c r="C2" s="1226"/>
      <c r="D2" s="1226"/>
      <c r="E2" s="1226"/>
      <c r="F2" s="1226"/>
      <c r="G2" s="122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376"/>
    </row>
    <row r="3" spans="1:26" ht="13.5" customHeight="1">
      <c r="A3" s="1227" t="s">
        <v>14</v>
      </c>
      <c r="B3" s="1226"/>
      <c r="C3" s="1226"/>
      <c r="D3" s="1226"/>
      <c r="E3" s="1226"/>
      <c r="F3" s="1226"/>
      <c r="G3" s="122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</row>
    <row r="4" spans="1:26" ht="9.75" customHeight="1">
      <c r="A4" s="315"/>
      <c r="B4" s="315"/>
      <c r="C4" s="316"/>
      <c r="D4" s="316"/>
      <c r="E4" s="316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</row>
    <row r="5" spans="1:26" ht="24" customHeight="1" thickBot="1">
      <c r="A5" s="317" t="s">
        <v>675</v>
      </c>
      <c r="B5" s="317"/>
      <c r="C5" s="577"/>
      <c r="D5" s="577"/>
      <c r="E5" s="577"/>
      <c r="F5" s="317"/>
      <c r="G5" s="317"/>
    </row>
    <row r="6" spans="1:26" ht="23.25" customHeight="1" thickTop="1" thickBot="1">
      <c r="A6" s="1228" t="s">
        <v>16</v>
      </c>
      <c r="B6" s="1228" t="s">
        <v>676</v>
      </c>
      <c r="C6" s="1230" t="s">
        <v>677</v>
      </c>
      <c r="D6" s="1231" t="s">
        <v>562</v>
      </c>
      <c r="E6" s="1232"/>
      <c r="F6" s="1233"/>
      <c r="G6" s="1230" t="s">
        <v>678</v>
      </c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</row>
    <row r="7" spans="1:26" ht="30.75" customHeight="1" thickTop="1">
      <c r="A7" s="1229"/>
      <c r="B7" s="1229"/>
      <c r="C7" s="1274"/>
      <c r="D7" s="320" t="s">
        <v>21</v>
      </c>
      <c r="E7" s="320" t="s">
        <v>22</v>
      </c>
      <c r="F7" s="1228" t="s">
        <v>23</v>
      </c>
      <c r="G7" s="1274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378"/>
      <c r="S7" s="378"/>
      <c r="T7" s="378"/>
      <c r="U7" s="378"/>
      <c r="V7" s="378"/>
      <c r="W7" s="378"/>
      <c r="X7" s="378"/>
      <c r="Y7" s="378"/>
      <c r="Z7" s="378"/>
    </row>
    <row r="8" spans="1:26" ht="22.5" customHeight="1">
      <c r="A8" s="1229"/>
      <c r="B8" s="1229"/>
      <c r="C8" s="1274"/>
      <c r="D8" s="321" t="s">
        <v>24</v>
      </c>
      <c r="E8" s="321" t="s">
        <v>25</v>
      </c>
      <c r="F8" s="1229"/>
      <c r="G8" s="1274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8"/>
      <c r="S8" s="378"/>
      <c r="T8" s="378"/>
      <c r="U8" s="378"/>
      <c r="V8" s="378"/>
      <c r="W8" s="378"/>
      <c r="X8" s="378"/>
      <c r="Y8" s="378"/>
      <c r="Z8" s="378"/>
    </row>
    <row r="9" spans="1:26" ht="15" customHeight="1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8"/>
      <c r="Z9" s="378"/>
    </row>
    <row r="10" spans="1:26" ht="18.75" customHeight="1" thickTop="1">
      <c r="A10" s="324" t="s">
        <v>33</v>
      </c>
      <c r="B10" s="325"/>
      <c r="C10" s="578"/>
      <c r="D10" s="578"/>
      <c r="E10" s="578"/>
      <c r="F10" s="326"/>
      <c r="G10" s="380"/>
    </row>
    <row r="11" spans="1:26" ht="18" customHeight="1">
      <c r="A11" s="328" t="s">
        <v>34</v>
      </c>
      <c r="B11" s="329"/>
      <c r="C11" s="579"/>
      <c r="D11" s="579"/>
      <c r="E11" s="579"/>
      <c r="F11" s="330"/>
      <c r="G11" s="381"/>
    </row>
    <row r="12" spans="1:26" ht="18" customHeight="1">
      <c r="A12" s="333" t="s">
        <v>35</v>
      </c>
      <c r="B12" s="334"/>
      <c r="C12" s="579"/>
      <c r="D12" s="579"/>
      <c r="E12" s="579"/>
      <c r="F12" s="335"/>
      <c r="G12" s="383"/>
    </row>
    <row r="13" spans="1:26" ht="18" customHeight="1">
      <c r="A13" s="338" t="s">
        <v>36</v>
      </c>
      <c r="B13" s="339" t="s">
        <v>37</v>
      </c>
      <c r="C13" s="36">
        <v>210636</v>
      </c>
      <c r="D13" s="36">
        <v>105318</v>
      </c>
      <c r="E13" s="36">
        <f t="shared" ref="E13:E14" si="0">F13-D13</f>
        <v>1649418</v>
      </c>
      <c r="F13" s="37">
        <v>1754736</v>
      </c>
      <c r="G13" s="37">
        <v>1872136</v>
      </c>
    </row>
    <row r="14" spans="1:26" ht="18" customHeight="1">
      <c r="A14" s="338" t="s">
        <v>38</v>
      </c>
      <c r="B14" s="339" t="s">
        <v>39</v>
      </c>
      <c r="C14" s="36">
        <v>428408.9</v>
      </c>
      <c r="D14" s="36">
        <v>234000</v>
      </c>
      <c r="E14" s="36">
        <f t="shared" si="0"/>
        <v>234000</v>
      </c>
      <c r="F14" s="37">
        <v>468000</v>
      </c>
      <c r="G14" s="37">
        <v>495045</v>
      </c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/>
    </row>
    <row r="15" spans="1:26" ht="18" customHeight="1">
      <c r="A15" s="333" t="s">
        <v>40</v>
      </c>
      <c r="B15" s="360"/>
      <c r="C15" s="36"/>
      <c r="D15" s="36"/>
      <c r="E15" s="36"/>
      <c r="F15" s="37"/>
      <c r="G15" s="37"/>
    </row>
    <row r="16" spans="1:26" ht="18" customHeight="1">
      <c r="A16" s="338" t="s">
        <v>41</v>
      </c>
      <c r="B16" s="339" t="s">
        <v>42</v>
      </c>
      <c r="C16" s="36">
        <v>89909.11</v>
      </c>
      <c r="D16" s="36">
        <v>48000</v>
      </c>
      <c r="E16" s="36">
        <f t="shared" ref="E16:E17" si="1">F16-D16</f>
        <v>144000</v>
      </c>
      <c r="F16" s="37">
        <v>192000</v>
      </c>
      <c r="G16" s="37">
        <v>192000</v>
      </c>
    </row>
    <row r="17" spans="1:26" ht="18" customHeight="1">
      <c r="A17" s="338" t="s">
        <v>47</v>
      </c>
      <c r="B17" s="339" t="s">
        <v>48</v>
      </c>
      <c r="C17" s="36">
        <v>24000</v>
      </c>
      <c r="D17" s="38">
        <v>24000</v>
      </c>
      <c r="E17" s="36">
        <f t="shared" si="1"/>
        <v>24000</v>
      </c>
      <c r="F17" s="37">
        <v>48000</v>
      </c>
      <c r="G17" s="37">
        <v>56000</v>
      </c>
    </row>
    <row r="18" spans="1:26" ht="18" customHeight="1">
      <c r="A18" s="338" t="s">
        <v>49</v>
      </c>
      <c r="B18" s="339" t="s">
        <v>50</v>
      </c>
      <c r="C18" s="38">
        <v>20000</v>
      </c>
      <c r="D18" s="38">
        <v>0</v>
      </c>
      <c r="E18" s="36">
        <v>40000</v>
      </c>
      <c r="F18" s="37">
        <v>40000</v>
      </c>
      <c r="G18" s="37">
        <v>40000</v>
      </c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  <c r="T18" s="312"/>
      <c r="U18" s="312"/>
      <c r="V18" s="312"/>
      <c r="W18" s="312"/>
      <c r="X18" s="312"/>
      <c r="Y18" s="312"/>
      <c r="Z18" s="312"/>
    </row>
    <row r="19" spans="1:26" ht="18" customHeight="1">
      <c r="A19" s="338" t="s">
        <v>53</v>
      </c>
      <c r="B19" s="339" t="s">
        <v>54</v>
      </c>
      <c r="C19" s="36">
        <v>56553</v>
      </c>
      <c r="D19" s="38">
        <v>0</v>
      </c>
      <c r="E19" s="36">
        <f t="shared" ref="E19:E21" si="2">F19-D19</f>
        <v>185228</v>
      </c>
      <c r="F19" s="37">
        <v>185228</v>
      </c>
      <c r="G19" s="37">
        <v>202224</v>
      </c>
    </row>
    <row r="20" spans="1:26" ht="18" customHeight="1">
      <c r="A20" s="338" t="s">
        <v>55</v>
      </c>
      <c r="B20" s="339" t="s">
        <v>56</v>
      </c>
      <c r="C20" s="36">
        <v>20000</v>
      </c>
      <c r="D20" s="38">
        <v>0</v>
      </c>
      <c r="E20" s="36">
        <f t="shared" si="2"/>
        <v>40000</v>
      </c>
      <c r="F20" s="37">
        <v>40000</v>
      </c>
      <c r="G20" s="37">
        <v>40000</v>
      </c>
    </row>
    <row r="21" spans="1:26" ht="18" customHeight="1">
      <c r="A21" s="338" t="s">
        <v>57</v>
      </c>
      <c r="B21" s="339" t="s">
        <v>58</v>
      </c>
      <c r="C21" s="36">
        <v>43553</v>
      </c>
      <c r="D21" s="36">
        <v>56553</v>
      </c>
      <c r="E21" s="36">
        <f t="shared" si="2"/>
        <v>128675</v>
      </c>
      <c r="F21" s="37">
        <v>185228</v>
      </c>
      <c r="G21" s="37">
        <v>193723</v>
      </c>
    </row>
    <row r="22" spans="1:26" ht="18" customHeight="1">
      <c r="A22" s="338" t="s">
        <v>557</v>
      </c>
      <c r="B22" s="339" t="s">
        <v>58</v>
      </c>
      <c r="C22" s="38">
        <v>0</v>
      </c>
      <c r="D22" s="38">
        <v>0</v>
      </c>
      <c r="E22" s="38">
        <v>0</v>
      </c>
      <c r="F22" s="83">
        <v>0</v>
      </c>
      <c r="G22" s="37">
        <v>56000</v>
      </c>
    </row>
    <row r="23" spans="1:26" ht="18" customHeight="1">
      <c r="A23" s="333" t="s">
        <v>59</v>
      </c>
      <c r="B23" s="360"/>
      <c r="C23" s="36"/>
      <c r="D23" s="36"/>
      <c r="E23" s="36"/>
      <c r="F23" s="37"/>
      <c r="G23" s="37"/>
    </row>
    <row r="24" spans="1:26" ht="18" customHeight="1">
      <c r="A24" s="338" t="s">
        <v>60</v>
      </c>
      <c r="B24" s="339" t="s">
        <v>61</v>
      </c>
      <c r="C24" s="36">
        <v>76655.67</v>
      </c>
      <c r="D24" s="36">
        <v>40718.160000000003</v>
      </c>
      <c r="E24" s="36">
        <f t="shared" ref="E24:E27" si="3">F24-D24</f>
        <v>226010.16</v>
      </c>
      <c r="F24" s="37">
        <v>266728.32000000001</v>
      </c>
      <c r="G24" s="37">
        <v>284061.71999999997</v>
      </c>
    </row>
    <row r="25" spans="1:26" ht="18" customHeight="1">
      <c r="A25" s="338" t="s">
        <v>62</v>
      </c>
      <c r="B25" s="339" t="s">
        <v>63</v>
      </c>
      <c r="C25" s="36">
        <v>4500</v>
      </c>
      <c r="D25" s="36">
        <v>4400</v>
      </c>
      <c r="E25" s="36">
        <f t="shared" si="3"/>
        <v>5200</v>
      </c>
      <c r="F25" s="37">
        <v>9600</v>
      </c>
      <c r="G25" s="37">
        <v>19200</v>
      </c>
    </row>
    <row r="26" spans="1:26" ht="18" customHeight="1">
      <c r="A26" s="338" t="s">
        <v>64</v>
      </c>
      <c r="B26" s="339" t="s">
        <v>65</v>
      </c>
      <c r="C26" s="36">
        <v>12780.9</v>
      </c>
      <c r="D26" s="36">
        <v>8872.9699999999993</v>
      </c>
      <c r="E26" s="36">
        <f t="shared" si="3"/>
        <v>41138.589999999997</v>
      </c>
      <c r="F26" s="37">
        <v>50011.56</v>
      </c>
      <c r="G26" s="37">
        <v>59179.53</v>
      </c>
    </row>
    <row r="27" spans="1:26" ht="18" customHeight="1">
      <c r="A27" s="341" t="s">
        <v>66</v>
      </c>
      <c r="B27" s="342" t="s">
        <v>67</v>
      </c>
      <c r="C27" s="72">
        <v>4500</v>
      </c>
      <c r="D27" s="72">
        <v>2400</v>
      </c>
      <c r="E27" s="72">
        <f t="shared" si="3"/>
        <v>7200</v>
      </c>
      <c r="F27" s="123">
        <v>9600</v>
      </c>
      <c r="G27" s="123">
        <v>9600</v>
      </c>
    </row>
    <row r="28" spans="1:26" ht="18" customHeight="1">
      <c r="A28" s="333" t="s">
        <v>589</v>
      </c>
      <c r="B28" s="344"/>
      <c r="C28" s="129"/>
      <c r="D28" s="129"/>
      <c r="E28" s="129"/>
      <c r="F28" s="121"/>
      <c r="G28" s="121"/>
    </row>
    <row r="29" spans="1:26" ht="18" customHeight="1" thickBot="1">
      <c r="A29" s="338" t="s">
        <v>558</v>
      </c>
      <c r="B29" s="347" t="s">
        <v>58</v>
      </c>
      <c r="C29" s="38">
        <v>0</v>
      </c>
      <c r="D29" s="38">
        <v>0</v>
      </c>
      <c r="E29" s="124">
        <v>0</v>
      </c>
      <c r="F29" s="125">
        <v>0</v>
      </c>
      <c r="G29" s="49">
        <v>95067.37</v>
      </c>
    </row>
    <row r="30" spans="1:26" ht="19.5" customHeight="1" thickTop="1" thickBot="1">
      <c r="A30" s="351" t="s">
        <v>71</v>
      </c>
      <c r="B30" s="352"/>
      <c r="C30" s="75">
        <f t="shared" ref="C30:F30" si="4">SUM(C13:C27)</f>
        <v>991496.58000000007</v>
      </c>
      <c r="D30" s="75">
        <f t="shared" si="4"/>
        <v>524262.13</v>
      </c>
      <c r="E30" s="75">
        <f t="shared" si="4"/>
        <v>2724869.75</v>
      </c>
      <c r="F30" s="75">
        <f t="shared" si="4"/>
        <v>3249131.88</v>
      </c>
      <c r="G30" s="75">
        <f>SUM(G13:G29)</f>
        <v>3614236.6199999996</v>
      </c>
    </row>
    <row r="31" spans="1:26" ht="18.75" customHeight="1" thickTop="1">
      <c r="A31" s="355" t="s">
        <v>72</v>
      </c>
      <c r="B31" s="356"/>
      <c r="C31" s="249"/>
      <c r="D31" s="249"/>
      <c r="E31" s="249"/>
      <c r="F31" s="249"/>
      <c r="G31" s="217"/>
    </row>
    <row r="32" spans="1:26" ht="18" customHeight="1">
      <c r="A32" s="338" t="s">
        <v>73</v>
      </c>
      <c r="B32" s="339" t="s">
        <v>74</v>
      </c>
      <c r="C32" s="38">
        <v>63920</v>
      </c>
      <c r="D32" s="36">
        <v>25000</v>
      </c>
      <c r="E32" s="36">
        <f t="shared" ref="E32:E54" si="5">F32-D32</f>
        <v>975000</v>
      </c>
      <c r="F32" s="37">
        <v>1000000</v>
      </c>
      <c r="G32" s="37">
        <v>170000</v>
      </c>
    </row>
    <row r="33" spans="1:7" ht="18" customHeight="1">
      <c r="A33" s="338" t="s">
        <v>275</v>
      </c>
      <c r="B33" s="339" t="s">
        <v>76</v>
      </c>
      <c r="C33" s="38">
        <v>211517.64</v>
      </c>
      <c r="D33" s="38">
        <v>6000</v>
      </c>
      <c r="E33" s="36">
        <f t="shared" si="5"/>
        <v>494000</v>
      </c>
      <c r="F33" s="37">
        <v>500000</v>
      </c>
      <c r="G33" s="37">
        <v>300000</v>
      </c>
    </row>
    <row r="34" spans="1:7" ht="18" customHeight="1">
      <c r="A34" s="359" t="s">
        <v>77</v>
      </c>
      <c r="B34" s="360" t="s">
        <v>78</v>
      </c>
      <c r="C34" s="38">
        <v>146098</v>
      </c>
      <c r="D34" s="38">
        <v>0</v>
      </c>
      <c r="E34" s="36">
        <f t="shared" si="5"/>
        <v>800000</v>
      </c>
      <c r="F34" s="92">
        <v>800000</v>
      </c>
      <c r="G34" s="92">
        <v>100000</v>
      </c>
    </row>
    <row r="35" spans="1:7" ht="18" customHeight="1">
      <c r="A35" s="338" t="s">
        <v>81</v>
      </c>
      <c r="B35" s="339" t="s">
        <v>82</v>
      </c>
      <c r="C35" s="36">
        <v>575217.4</v>
      </c>
      <c r="D35" s="36">
        <v>54164</v>
      </c>
      <c r="E35" s="36">
        <f t="shared" si="5"/>
        <v>1445836</v>
      </c>
      <c r="F35" s="37">
        <v>1500000</v>
      </c>
      <c r="G35" s="37">
        <v>300000</v>
      </c>
    </row>
    <row r="36" spans="1:7" ht="18" customHeight="1">
      <c r="A36" s="359" t="s">
        <v>83</v>
      </c>
      <c r="B36" s="360" t="s">
        <v>84</v>
      </c>
      <c r="C36" s="38">
        <v>50000</v>
      </c>
      <c r="D36" s="36">
        <v>25000</v>
      </c>
      <c r="E36" s="36">
        <f t="shared" si="5"/>
        <v>35000</v>
      </c>
      <c r="F36" s="37">
        <v>60000</v>
      </c>
      <c r="G36" s="37">
        <v>60000</v>
      </c>
    </row>
    <row r="37" spans="1:7" ht="18" customHeight="1">
      <c r="A37" s="338" t="s">
        <v>199</v>
      </c>
      <c r="B37" s="398" t="s">
        <v>200</v>
      </c>
      <c r="C37" s="38">
        <v>1219032.8799999999</v>
      </c>
      <c r="D37" s="36">
        <v>970510</v>
      </c>
      <c r="E37" s="36">
        <f t="shared" si="5"/>
        <v>1367150</v>
      </c>
      <c r="F37" s="37">
        <v>2337660</v>
      </c>
      <c r="G37" s="37">
        <v>2554200</v>
      </c>
    </row>
    <row r="38" spans="1:7" ht="18" customHeight="1">
      <c r="A38" s="338" t="s">
        <v>276</v>
      </c>
      <c r="B38" s="339" t="s">
        <v>256</v>
      </c>
      <c r="C38" s="38">
        <v>0</v>
      </c>
      <c r="D38" s="38">
        <v>0</v>
      </c>
      <c r="E38" s="38">
        <v>0</v>
      </c>
      <c r="F38" s="37">
        <v>500000</v>
      </c>
      <c r="G38" s="38">
        <v>0</v>
      </c>
    </row>
    <row r="39" spans="1:7" ht="18" customHeight="1">
      <c r="A39" s="338" t="s">
        <v>100</v>
      </c>
      <c r="B39" s="339" t="s">
        <v>101</v>
      </c>
      <c r="C39" s="38">
        <v>0</v>
      </c>
      <c r="D39" s="38">
        <v>0</v>
      </c>
      <c r="E39" s="38">
        <v>0</v>
      </c>
      <c r="F39" s="37">
        <v>500000</v>
      </c>
      <c r="G39" s="37">
        <v>500000</v>
      </c>
    </row>
    <row r="40" spans="1:7" ht="18" customHeight="1">
      <c r="A40" s="338" t="s">
        <v>226</v>
      </c>
      <c r="B40" s="339" t="s">
        <v>227</v>
      </c>
      <c r="C40" s="38">
        <v>0</v>
      </c>
      <c r="D40" s="38">
        <v>0</v>
      </c>
      <c r="E40" s="38">
        <v>0</v>
      </c>
      <c r="F40" s="37">
        <v>120000</v>
      </c>
      <c r="G40" s="38">
        <v>0</v>
      </c>
    </row>
    <row r="41" spans="1:7" ht="18" customHeight="1">
      <c r="A41" s="413" t="s">
        <v>104</v>
      </c>
      <c r="B41" s="339" t="s">
        <v>105</v>
      </c>
      <c r="C41" s="38">
        <v>2400</v>
      </c>
      <c r="D41" s="38">
        <v>0</v>
      </c>
      <c r="E41" s="36">
        <f t="shared" si="5"/>
        <v>5000</v>
      </c>
      <c r="F41" s="37">
        <v>5000</v>
      </c>
      <c r="G41" s="37">
        <v>11000</v>
      </c>
    </row>
    <row r="42" spans="1:7" ht="18" customHeight="1">
      <c r="A42" s="338" t="s">
        <v>108</v>
      </c>
      <c r="B42" s="339" t="s">
        <v>109</v>
      </c>
      <c r="C42" s="38"/>
      <c r="D42" s="38"/>
      <c r="E42" s="38"/>
      <c r="F42" s="83"/>
      <c r="G42" s="83"/>
    </row>
    <row r="43" spans="1:7" ht="18" customHeight="1">
      <c r="A43" s="539" t="s">
        <v>280</v>
      </c>
      <c r="B43" s="427"/>
      <c r="C43" s="38">
        <v>0</v>
      </c>
      <c r="D43" s="38">
        <v>497595</v>
      </c>
      <c r="E43" s="36">
        <f t="shared" ref="E43:E49" si="6">F43-D43</f>
        <v>1502405</v>
      </c>
      <c r="F43" s="37">
        <v>2000000</v>
      </c>
      <c r="G43" s="37">
        <v>500000</v>
      </c>
    </row>
    <row r="44" spans="1:7" ht="32.450000000000003" customHeight="1">
      <c r="A44" s="539" t="s">
        <v>281</v>
      </c>
      <c r="B44" s="427"/>
      <c r="C44" s="38">
        <v>0</v>
      </c>
      <c r="D44" s="38">
        <v>75331</v>
      </c>
      <c r="E44" s="36">
        <f t="shared" si="6"/>
        <v>4584669</v>
      </c>
      <c r="F44" s="37">
        <v>4660000</v>
      </c>
      <c r="G44" s="37">
        <v>1548000</v>
      </c>
    </row>
    <row r="45" spans="1:7" ht="32.450000000000003" customHeight="1">
      <c r="A45" s="539" t="s">
        <v>282</v>
      </c>
      <c r="B45" s="427"/>
      <c r="C45" s="38">
        <v>0</v>
      </c>
      <c r="D45" s="38">
        <v>4278540</v>
      </c>
      <c r="E45" s="36">
        <f t="shared" si="6"/>
        <v>5298460</v>
      </c>
      <c r="F45" s="37">
        <v>9577000</v>
      </c>
      <c r="G45" s="37">
        <v>10216800</v>
      </c>
    </row>
    <row r="46" spans="1:7" ht="18" customHeight="1">
      <c r="A46" s="539" t="s">
        <v>679</v>
      </c>
      <c r="B46" s="427"/>
      <c r="C46" s="38">
        <v>0</v>
      </c>
      <c r="D46" s="38">
        <v>0</v>
      </c>
      <c r="E46" s="36">
        <f t="shared" si="6"/>
        <v>30000</v>
      </c>
      <c r="F46" s="80">
        <v>30000</v>
      </c>
      <c r="G46" s="80">
        <v>20000</v>
      </c>
    </row>
    <row r="47" spans="1:7" ht="18.600000000000001" customHeight="1">
      <c r="A47" s="580" t="s">
        <v>288</v>
      </c>
      <c r="B47" s="427"/>
      <c r="C47" s="38">
        <v>205265</v>
      </c>
      <c r="D47" s="38">
        <v>0</v>
      </c>
      <c r="E47" s="36">
        <f t="shared" si="6"/>
        <v>275000</v>
      </c>
      <c r="F47" s="80">
        <v>275000</v>
      </c>
      <c r="G47" s="80">
        <v>50000</v>
      </c>
    </row>
    <row r="48" spans="1:7" ht="18" customHeight="1">
      <c r="A48" s="581" t="s">
        <v>289</v>
      </c>
      <c r="B48" s="427"/>
      <c r="C48" s="38">
        <v>0</v>
      </c>
      <c r="D48" s="38">
        <v>0</v>
      </c>
      <c r="E48" s="36">
        <f t="shared" si="6"/>
        <v>30000</v>
      </c>
      <c r="F48" s="80">
        <v>30000</v>
      </c>
      <c r="G48" s="80">
        <v>20000</v>
      </c>
    </row>
    <row r="49" spans="1:11" ht="18" customHeight="1">
      <c r="A49" s="581" t="s">
        <v>290</v>
      </c>
      <c r="B49" s="427"/>
      <c r="C49" s="38">
        <v>0</v>
      </c>
      <c r="D49" s="38">
        <v>0</v>
      </c>
      <c r="E49" s="36">
        <f t="shared" si="6"/>
        <v>30000</v>
      </c>
      <c r="F49" s="80">
        <v>30000</v>
      </c>
      <c r="G49" s="80">
        <v>20000</v>
      </c>
    </row>
    <row r="50" spans="1:11" ht="18" customHeight="1">
      <c r="A50" s="539" t="s">
        <v>278</v>
      </c>
      <c r="B50" s="427"/>
      <c r="C50" s="38">
        <v>0</v>
      </c>
      <c r="D50" s="38">
        <v>0</v>
      </c>
      <c r="E50" s="36">
        <f t="shared" si="5"/>
        <v>100000</v>
      </c>
      <c r="F50" s="37">
        <v>100000</v>
      </c>
      <c r="G50" s="271">
        <v>0</v>
      </c>
    </row>
    <row r="51" spans="1:11" ht="36" customHeight="1">
      <c r="A51" s="539" t="s">
        <v>279</v>
      </c>
      <c r="B51" s="427"/>
      <c r="C51" s="38">
        <v>0</v>
      </c>
      <c r="D51" s="38">
        <v>0</v>
      </c>
      <c r="E51" s="36">
        <f t="shared" si="5"/>
        <v>100000</v>
      </c>
      <c r="F51" s="37">
        <v>100000</v>
      </c>
      <c r="G51" s="271">
        <v>0</v>
      </c>
    </row>
    <row r="52" spans="1:11" ht="18" customHeight="1">
      <c r="A52" s="539" t="s">
        <v>284</v>
      </c>
      <c r="B52" s="427"/>
      <c r="C52" s="38">
        <v>0</v>
      </c>
      <c r="D52" s="38">
        <v>0</v>
      </c>
      <c r="E52" s="36">
        <f t="shared" si="5"/>
        <v>1000000</v>
      </c>
      <c r="F52" s="37">
        <v>1000000</v>
      </c>
      <c r="G52" s="271">
        <v>0</v>
      </c>
    </row>
    <row r="53" spans="1:11" ht="18" customHeight="1">
      <c r="A53" s="539" t="s">
        <v>286</v>
      </c>
      <c r="B53" s="427"/>
      <c r="C53" s="38">
        <v>0</v>
      </c>
      <c r="D53" s="38">
        <v>0</v>
      </c>
      <c r="E53" s="36">
        <f t="shared" si="5"/>
        <v>30000</v>
      </c>
      <c r="F53" s="80">
        <v>30000</v>
      </c>
      <c r="G53" s="271">
        <v>0</v>
      </c>
    </row>
    <row r="54" spans="1:11" ht="36">
      <c r="A54" s="539" t="s">
        <v>287</v>
      </c>
      <c r="B54" s="427"/>
      <c r="C54" s="38">
        <v>0</v>
      </c>
      <c r="D54" s="38">
        <v>0</v>
      </c>
      <c r="E54" s="36">
        <f t="shared" si="5"/>
        <v>30000</v>
      </c>
      <c r="F54" s="80">
        <v>30000</v>
      </c>
      <c r="G54" s="271">
        <v>0</v>
      </c>
    </row>
    <row r="55" spans="1:11" ht="18" customHeight="1">
      <c r="A55" s="541" t="s">
        <v>277</v>
      </c>
      <c r="B55" s="427"/>
      <c r="C55" s="38">
        <v>19773017.84</v>
      </c>
      <c r="D55" s="38">
        <v>0</v>
      </c>
      <c r="E55" s="38">
        <v>0</v>
      </c>
      <c r="F55" s="83">
        <v>0</v>
      </c>
      <c r="G55" s="271">
        <v>0</v>
      </c>
    </row>
    <row r="56" spans="1:11" ht="18" customHeight="1">
      <c r="A56" s="541" t="s">
        <v>283</v>
      </c>
      <c r="B56" s="427"/>
      <c r="C56" s="38">
        <v>1692490.21</v>
      </c>
      <c r="D56" s="38">
        <v>0</v>
      </c>
      <c r="E56" s="38">
        <v>0</v>
      </c>
      <c r="F56" s="83">
        <v>0</v>
      </c>
      <c r="G56" s="83">
        <v>0</v>
      </c>
    </row>
    <row r="57" spans="1:11" ht="18" customHeight="1" thickBot="1">
      <c r="A57" s="541" t="s">
        <v>285</v>
      </c>
      <c r="B57" s="427"/>
      <c r="C57" s="38">
        <v>56935</v>
      </c>
      <c r="D57" s="38">
        <v>0</v>
      </c>
      <c r="E57" s="38">
        <v>0</v>
      </c>
      <c r="F57" s="83">
        <v>0</v>
      </c>
      <c r="G57" s="83">
        <v>0</v>
      </c>
    </row>
    <row r="58" spans="1:11" ht="19.5" customHeight="1" thickTop="1" thickBot="1">
      <c r="A58" s="351" t="s">
        <v>162</v>
      </c>
      <c r="B58" s="367"/>
      <c r="C58" s="75">
        <f>SUM(C32:C57)</f>
        <v>23995893.969999999</v>
      </c>
      <c r="D58" s="75">
        <f>SUM(D32:D57)</f>
        <v>5932140</v>
      </c>
      <c r="E58" s="75">
        <f>SUM(E32:E57)</f>
        <v>18132520</v>
      </c>
      <c r="F58" s="75">
        <f>SUM(F32:F57)</f>
        <v>25184660</v>
      </c>
      <c r="G58" s="75">
        <f>SUM(G32:G57)</f>
        <v>16370000</v>
      </c>
      <c r="J58" s="558"/>
      <c r="K58" s="558"/>
    </row>
    <row r="59" spans="1:11" ht="19.5" customHeight="1" thickTop="1" thickBot="1">
      <c r="A59" s="351" t="s">
        <v>181</v>
      </c>
      <c r="B59" s="367"/>
      <c r="C59" s="75">
        <f>C30+C58</f>
        <v>24987390.549999997</v>
      </c>
      <c r="D59" s="75">
        <f>D30+D58</f>
        <v>6456402.1299999999</v>
      </c>
      <c r="E59" s="75">
        <f>E30+E58</f>
        <v>20857389.75</v>
      </c>
      <c r="F59" s="75">
        <f>F30+F58</f>
        <v>28433791.879999999</v>
      </c>
      <c r="G59" s="75">
        <f>G30+G58</f>
        <v>19984236.620000001</v>
      </c>
    </row>
    <row r="60" spans="1:11" ht="18.75" customHeight="1" thickTop="1">
      <c r="A60" s="317"/>
      <c r="B60" s="317"/>
      <c r="C60" s="577"/>
      <c r="D60" s="577"/>
      <c r="E60" s="577"/>
      <c r="F60" s="317"/>
      <c r="G60" s="317"/>
    </row>
    <row r="61" spans="1:11" ht="18.75" customHeight="1">
      <c r="A61" s="317"/>
      <c r="B61" s="317"/>
      <c r="C61" s="577"/>
      <c r="D61" s="577"/>
      <c r="E61" s="577"/>
      <c r="F61" s="317"/>
      <c r="G61" s="317"/>
    </row>
    <row r="62" spans="1:11" ht="18.75" customHeight="1">
      <c r="A62" s="317"/>
      <c r="B62" s="317"/>
      <c r="C62" s="577"/>
      <c r="D62" s="577"/>
      <c r="E62" s="577"/>
      <c r="F62" s="317"/>
      <c r="G62" s="317"/>
    </row>
    <row r="63" spans="1:11" ht="18" customHeight="1">
      <c r="A63" s="317" t="s">
        <v>183</v>
      </c>
      <c r="B63" s="317" t="s">
        <v>184</v>
      </c>
      <c r="C63" s="577"/>
      <c r="D63" s="577"/>
      <c r="E63" s="577"/>
      <c r="F63" s="577" t="s">
        <v>185</v>
      </c>
      <c r="G63" s="317"/>
    </row>
    <row r="64" spans="1:11" ht="18" customHeight="1">
      <c r="A64" s="317"/>
      <c r="B64" s="317"/>
      <c r="C64" s="577"/>
      <c r="D64" s="577"/>
      <c r="E64" s="577"/>
      <c r="F64" s="577"/>
      <c r="G64" s="317"/>
    </row>
    <row r="65" spans="1:7" ht="18" customHeight="1">
      <c r="A65" s="317"/>
      <c r="B65" s="317"/>
      <c r="C65" s="577"/>
      <c r="D65" s="577"/>
      <c r="E65" s="577"/>
      <c r="F65" s="317"/>
      <c r="G65" s="317"/>
    </row>
    <row r="66" spans="1:7" ht="18" customHeight="1">
      <c r="A66" s="317"/>
      <c r="B66" s="317"/>
      <c r="C66" s="577"/>
      <c r="D66" s="577"/>
      <c r="E66" s="577"/>
      <c r="F66" s="317"/>
      <c r="G66" s="317"/>
    </row>
    <row r="67" spans="1:7" ht="18" customHeight="1">
      <c r="A67" s="309" t="s">
        <v>680</v>
      </c>
      <c r="B67" s="1239" t="s">
        <v>187</v>
      </c>
      <c r="C67" s="1236"/>
      <c r="D67" s="1236"/>
      <c r="E67" s="369"/>
      <c r="F67" s="1240" t="s">
        <v>188</v>
      </c>
      <c r="G67" s="1226"/>
    </row>
    <row r="68" spans="1:7" ht="18" customHeight="1">
      <c r="A68" s="371" t="s">
        <v>291</v>
      </c>
      <c r="B68" s="1235" t="s">
        <v>190</v>
      </c>
      <c r="C68" s="1236"/>
      <c r="D68" s="1236"/>
      <c r="E68" s="372"/>
      <c r="F68" s="1237" t="s">
        <v>191</v>
      </c>
      <c r="G68" s="1226"/>
    </row>
    <row r="69" spans="1:7" ht="18" customHeight="1">
      <c r="A69" s="317"/>
      <c r="B69" s="317"/>
      <c r="C69" s="577"/>
      <c r="D69" s="577"/>
      <c r="E69" s="577"/>
      <c r="F69" s="317"/>
      <c r="G69" s="317"/>
    </row>
    <row r="70" spans="1:7" ht="18" customHeight="1">
      <c r="A70" s="317"/>
      <c r="B70" s="317"/>
      <c r="C70" s="577"/>
      <c r="D70" s="577"/>
      <c r="E70" s="577"/>
      <c r="F70" s="317"/>
      <c r="G70" s="317"/>
    </row>
    <row r="71" spans="1:7" ht="18" customHeight="1">
      <c r="A71" s="1238" t="s">
        <v>194</v>
      </c>
      <c r="B71" s="1238"/>
      <c r="C71" s="1238"/>
      <c r="D71" s="1238"/>
      <c r="E71" s="1238"/>
      <c r="F71" s="1238"/>
      <c r="G71" s="1238"/>
    </row>
    <row r="72" spans="1:7" ht="18" customHeight="1">
      <c r="A72" s="317"/>
      <c r="B72" s="317"/>
      <c r="C72" s="577"/>
      <c r="D72" s="577"/>
      <c r="E72" s="577"/>
      <c r="F72" s="317"/>
      <c r="G72" s="317"/>
    </row>
    <row r="73" spans="1:7" ht="18" customHeight="1">
      <c r="A73" s="317"/>
      <c r="B73" s="317"/>
      <c r="C73" s="577"/>
      <c r="D73" s="577"/>
      <c r="E73" s="577"/>
      <c r="F73" s="317"/>
      <c r="G73" s="317"/>
    </row>
    <row r="74" spans="1:7" ht="18">
      <c r="A74" s="317"/>
      <c r="B74" s="317"/>
      <c r="C74" s="577"/>
      <c r="D74" s="577"/>
      <c r="E74" s="577"/>
      <c r="F74" s="317"/>
      <c r="G74" s="317"/>
    </row>
    <row r="75" spans="1:7" ht="18">
      <c r="A75" s="317"/>
      <c r="B75" s="317"/>
      <c r="C75" s="577"/>
      <c r="D75" s="577"/>
      <c r="E75" s="577"/>
      <c r="F75" s="317"/>
      <c r="G75" s="317"/>
    </row>
    <row r="76" spans="1:7" ht="18">
      <c r="A76" s="317"/>
      <c r="B76" s="317"/>
      <c r="C76" s="577"/>
      <c r="D76" s="577"/>
      <c r="E76" s="577"/>
      <c r="F76" s="317"/>
      <c r="G76" s="317"/>
    </row>
    <row r="77" spans="1:7" ht="18">
      <c r="A77" s="317"/>
      <c r="B77" s="317"/>
      <c r="C77" s="577"/>
      <c r="D77" s="577"/>
      <c r="E77" s="577"/>
      <c r="F77" s="317"/>
      <c r="G77" s="317"/>
    </row>
    <row r="78" spans="1:7" ht="18">
      <c r="A78" s="317"/>
      <c r="B78" s="317"/>
      <c r="C78" s="577"/>
      <c r="D78" s="577"/>
      <c r="E78" s="577"/>
      <c r="F78" s="317"/>
      <c r="G78" s="317"/>
    </row>
    <row r="79" spans="1:7" ht="18">
      <c r="A79" s="317"/>
      <c r="B79" s="317"/>
      <c r="C79" s="577"/>
      <c r="D79" s="577"/>
      <c r="E79" s="577"/>
      <c r="F79" s="317"/>
      <c r="G79" s="317"/>
    </row>
    <row r="80" spans="1:7" ht="18">
      <c r="A80" s="317"/>
      <c r="B80" s="317"/>
      <c r="C80" s="577"/>
      <c r="D80" s="577"/>
      <c r="E80" s="577"/>
      <c r="F80" s="317"/>
      <c r="G80" s="317"/>
    </row>
    <row r="81" spans="1:7" ht="18">
      <c r="A81" s="317"/>
      <c r="B81" s="317"/>
      <c r="C81" s="577"/>
      <c r="D81" s="577"/>
      <c r="E81" s="577"/>
      <c r="F81" s="317"/>
      <c r="G81" s="317"/>
    </row>
    <row r="82" spans="1:7" ht="18">
      <c r="A82" s="317"/>
      <c r="B82" s="317"/>
      <c r="C82" s="577"/>
      <c r="D82" s="577"/>
      <c r="E82" s="577"/>
      <c r="F82" s="317"/>
      <c r="G82" s="317"/>
    </row>
    <row r="83" spans="1:7" ht="18">
      <c r="A83" s="317"/>
      <c r="B83" s="317"/>
      <c r="C83" s="577"/>
      <c r="D83" s="577"/>
      <c r="E83" s="577"/>
      <c r="F83" s="317"/>
      <c r="G83" s="317"/>
    </row>
    <row r="84" spans="1:7" ht="18">
      <c r="A84" s="317"/>
      <c r="B84" s="317"/>
      <c r="C84" s="577"/>
      <c r="D84" s="577"/>
      <c r="E84" s="577"/>
      <c r="F84" s="317"/>
      <c r="G84" s="317"/>
    </row>
    <row r="85" spans="1:7" ht="18">
      <c r="A85" s="317"/>
      <c r="B85" s="317"/>
      <c r="C85" s="577"/>
      <c r="D85" s="577"/>
      <c r="E85" s="577"/>
      <c r="F85" s="317"/>
      <c r="G85" s="317"/>
    </row>
    <row r="86" spans="1:7" ht="18">
      <c r="A86" s="317"/>
      <c r="B86" s="317"/>
      <c r="C86" s="577"/>
      <c r="D86" s="577"/>
      <c r="E86" s="577"/>
      <c r="F86" s="317"/>
      <c r="G86" s="317"/>
    </row>
    <row r="87" spans="1:7" ht="18">
      <c r="A87" s="317"/>
      <c r="B87" s="317"/>
      <c r="C87" s="577"/>
      <c r="D87" s="577"/>
      <c r="E87" s="577"/>
      <c r="F87" s="317"/>
      <c r="G87" s="317"/>
    </row>
    <row r="88" spans="1:7" ht="18">
      <c r="A88" s="317"/>
      <c r="B88" s="317"/>
      <c r="C88" s="577"/>
      <c r="D88" s="577"/>
      <c r="E88" s="577"/>
      <c r="F88" s="317"/>
      <c r="G88" s="317"/>
    </row>
    <row r="89" spans="1:7" ht="18">
      <c r="A89" s="317"/>
      <c r="B89" s="317"/>
      <c r="C89" s="577"/>
      <c r="D89" s="577"/>
      <c r="E89" s="577"/>
      <c r="F89" s="317"/>
      <c r="G89" s="317"/>
    </row>
    <row r="90" spans="1:7" ht="18">
      <c r="A90" s="317"/>
      <c r="B90" s="317"/>
      <c r="C90" s="577"/>
      <c r="D90" s="577"/>
      <c r="E90" s="577"/>
      <c r="F90" s="317"/>
      <c r="G90" s="317"/>
    </row>
    <row r="91" spans="1:7" ht="18">
      <c r="A91" s="317"/>
      <c r="B91" s="317"/>
      <c r="C91" s="577"/>
      <c r="D91" s="577"/>
      <c r="E91" s="577"/>
      <c r="F91" s="317"/>
      <c r="G91" s="317"/>
    </row>
    <row r="92" spans="1:7" ht="18">
      <c r="A92" s="317"/>
      <c r="B92" s="317"/>
      <c r="C92" s="577"/>
      <c r="D92" s="577"/>
      <c r="E92" s="577"/>
      <c r="F92" s="317"/>
      <c r="G92" s="317"/>
    </row>
    <row r="93" spans="1:7" ht="18">
      <c r="A93" s="317"/>
      <c r="B93" s="317"/>
      <c r="C93" s="577"/>
      <c r="D93" s="577"/>
      <c r="E93" s="577"/>
      <c r="F93" s="317"/>
      <c r="G93" s="317"/>
    </row>
    <row r="94" spans="1:7" ht="18">
      <c r="A94" s="317"/>
      <c r="B94" s="317"/>
      <c r="C94" s="577"/>
      <c r="D94" s="577"/>
      <c r="E94" s="577"/>
      <c r="F94" s="317"/>
      <c r="G94" s="317"/>
    </row>
    <row r="95" spans="1:7" ht="18">
      <c r="A95" s="317"/>
      <c r="B95" s="317"/>
      <c r="C95" s="577"/>
      <c r="D95" s="577"/>
      <c r="E95" s="577"/>
      <c r="F95" s="317"/>
      <c r="G95" s="317"/>
    </row>
    <row r="96" spans="1:7" ht="18">
      <c r="A96" s="317"/>
      <c r="B96" s="317"/>
      <c r="C96" s="577"/>
      <c r="D96" s="577"/>
      <c r="E96" s="577"/>
      <c r="F96" s="317"/>
      <c r="G96" s="317"/>
    </row>
    <row r="97" spans="1:7" ht="18">
      <c r="A97" s="317"/>
      <c r="B97" s="317"/>
      <c r="C97" s="577"/>
      <c r="D97" s="577"/>
      <c r="E97" s="577"/>
      <c r="F97" s="317"/>
      <c r="G97" s="317"/>
    </row>
    <row r="98" spans="1:7" ht="18">
      <c r="A98" s="317"/>
      <c r="B98" s="317"/>
      <c r="C98" s="577"/>
      <c r="D98" s="577"/>
      <c r="E98" s="577"/>
      <c r="F98" s="317"/>
      <c r="G98" s="317"/>
    </row>
    <row r="99" spans="1:7" ht="18">
      <c r="A99" s="317"/>
      <c r="B99" s="317"/>
      <c r="C99" s="577"/>
      <c r="D99" s="577"/>
      <c r="E99" s="577"/>
      <c r="F99" s="317"/>
      <c r="G99" s="317"/>
    </row>
    <row r="100" spans="1:7" ht="18">
      <c r="A100" s="317"/>
      <c r="B100" s="317"/>
      <c r="C100" s="577"/>
      <c r="D100" s="577"/>
      <c r="E100" s="577"/>
      <c r="F100" s="317"/>
      <c r="G100" s="317"/>
    </row>
    <row r="101" spans="1:7" ht="18">
      <c r="A101" s="317"/>
      <c r="B101" s="317"/>
      <c r="C101" s="577"/>
      <c r="D101" s="577"/>
      <c r="E101" s="577"/>
      <c r="F101" s="317"/>
      <c r="G101" s="317"/>
    </row>
    <row r="102" spans="1:7" ht="18">
      <c r="A102" s="317"/>
      <c r="B102" s="317"/>
      <c r="C102" s="577"/>
      <c r="D102" s="577"/>
      <c r="E102" s="577"/>
      <c r="F102" s="317"/>
      <c r="G102" s="317"/>
    </row>
    <row r="103" spans="1:7" ht="18">
      <c r="A103" s="317"/>
      <c r="B103" s="317"/>
      <c r="C103" s="577"/>
      <c r="D103" s="577"/>
      <c r="E103" s="577"/>
      <c r="F103" s="317"/>
      <c r="G103" s="317"/>
    </row>
    <row r="104" spans="1:7" ht="18">
      <c r="A104" s="317"/>
      <c r="B104" s="317"/>
      <c r="C104" s="577"/>
      <c r="D104" s="577"/>
      <c r="E104" s="577"/>
      <c r="F104" s="317"/>
      <c r="G104" s="317"/>
    </row>
    <row r="105" spans="1:7" ht="18">
      <c r="A105" s="317"/>
      <c r="B105" s="317"/>
      <c r="C105" s="577"/>
      <c r="D105" s="577"/>
      <c r="E105" s="577"/>
      <c r="F105" s="317"/>
      <c r="G105" s="317"/>
    </row>
    <row r="106" spans="1:7" ht="18">
      <c r="A106" s="317"/>
      <c r="B106" s="317"/>
      <c r="C106" s="577"/>
      <c r="D106" s="577"/>
      <c r="E106" s="577"/>
      <c r="F106" s="317"/>
      <c r="G106" s="317"/>
    </row>
    <row r="107" spans="1:7" ht="18">
      <c r="A107" s="317"/>
      <c r="B107" s="317"/>
      <c r="C107" s="577"/>
      <c r="D107" s="577"/>
      <c r="E107" s="577"/>
      <c r="F107" s="317"/>
      <c r="G107" s="317"/>
    </row>
    <row r="108" spans="1:7" ht="18">
      <c r="A108" s="317"/>
      <c r="B108" s="317"/>
      <c r="C108" s="577"/>
      <c r="D108" s="577"/>
      <c r="E108" s="577"/>
      <c r="F108" s="317"/>
      <c r="G108" s="317"/>
    </row>
    <row r="109" spans="1:7" ht="18">
      <c r="A109" s="317"/>
      <c r="B109" s="317"/>
      <c r="C109" s="577"/>
      <c r="D109" s="577"/>
      <c r="E109" s="577"/>
      <c r="F109" s="317"/>
      <c r="G109" s="317"/>
    </row>
    <row r="110" spans="1:7" ht="18">
      <c r="A110" s="317"/>
      <c r="B110" s="317"/>
      <c r="C110" s="577"/>
      <c r="D110" s="577"/>
      <c r="E110" s="577"/>
      <c r="F110" s="317"/>
      <c r="G110" s="317"/>
    </row>
    <row r="111" spans="1:7" ht="18">
      <c r="A111" s="317"/>
      <c r="B111" s="317"/>
      <c r="C111" s="577"/>
      <c r="D111" s="577"/>
      <c r="E111" s="577"/>
      <c r="F111" s="317"/>
      <c r="G111" s="317"/>
    </row>
    <row r="112" spans="1:7" ht="18">
      <c r="A112" s="317"/>
      <c r="B112" s="317"/>
      <c r="C112" s="577"/>
      <c r="D112" s="577"/>
      <c r="E112" s="577"/>
      <c r="F112" s="317"/>
      <c r="G112" s="317"/>
    </row>
    <row r="113" spans="1:7" ht="18">
      <c r="A113" s="317"/>
      <c r="B113" s="317"/>
      <c r="C113" s="577"/>
      <c r="D113" s="577"/>
      <c r="E113" s="577"/>
      <c r="F113" s="317"/>
      <c r="G113" s="317"/>
    </row>
    <row r="114" spans="1:7" ht="18">
      <c r="A114" s="317"/>
      <c r="B114" s="317"/>
      <c r="C114" s="577"/>
      <c r="D114" s="577"/>
      <c r="E114" s="577"/>
      <c r="F114" s="317"/>
      <c r="G114" s="317"/>
    </row>
    <row r="115" spans="1:7" ht="18">
      <c r="A115" s="317"/>
      <c r="B115" s="317"/>
      <c r="C115" s="577"/>
      <c r="D115" s="577"/>
      <c r="E115" s="577"/>
      <c r="F115" s="317"/>
      <c r="G115" s="317"/>
    </row>
    <row r="116" spans="1:7" ht="18">
      <c r="A116" s="317"/>
      <c r="B116" s="317"/>
      <c r="C116" s="577"/>
      <c r="D116" s="577"/>
      <c r="E116" s="577"/>
      <c r="F116" s="317"/>
      <c r="G116" s="317"/>
    </row>
    <row r="117" spans="1:7" ht="18">
      <c r="A117" s="317"/>
      <c r="B117" s="317"/>
      <c r="C117" s="577"/>
      <c r="D117" s="577"/>
      <c r="E117" s="577"/>
      <c r="F117" s="317"/>
      <c r="G117" s="317"/>
    </row>
    <row r="118" spans="1:7" ht="18">
      <c r="A118" s="317"/>
      <c r="B118" s="317"/>
      <c r="C118" s="577"/>
      <c r="D118" s="577"/>
      <c r="E118" s="577"/>
      <c r="F118" s="317"/>
      <c r="G118" s="317"/>
    </row>
    <row r="119" spans="1:7" ht="18">
      <c r="A119" s="317"/>
      <c r="B119" s="317"/>
      <c r="C119" s="577"/>
      <c r="D119" s="577"/>
      <c r="E119" s="577"/>
      <c r="F119" s="317"/>
      <c r="G119" s="317"/>
    </row>
    <row r="120" spans="1:7" ht="18">
      <c r="A120" s="317"/>
      <c r="B120" s="317"/>
      <c r="C120" s="577"/>
      <c r="D120" s="577"/>
      <c r="E120" s="577"/>
      <c r="F120" s="317"/>
      <c r="G120" s="317"/>
    </row>
    <row r="121" spans="1:7" ht="18">
      <c r="A121" s="317"/>
      <c r="B121" s="317"/>
      <c r="C121" s="577"/>
      <c r="D121" s="577"/>
      <c r="E121" s="577"/>
      <c r="F121" s="317"/>
      <c r="G121" s="317"/>
    </row>
    <row r="122" spans="1:7" ht="18">
      <c r="A122" s="317"/>
      <c r="B122" s="317"/>
      <c r="C122" s="577"/>
      <c r="D122" s="577"/>
      <c r="E122" s="577"/>
      <c r="F122" s="317"/>
      <c r="G122" s="317"/>
    </row>
    <row r="123" spans="1:7" ht="18">
      <c r="A123" s="317"/>
      <c r="B123" s="317"/>
      <c r="C123" s="577"/>
      <c r="D123" s="577"/>
      <c r="E123" s="577"/>
      <c r="F123" s="317"/>
      <c r="G123" s="317"/>
    </row>
    <row r="124" spans="1:7" ht="18">
      <c r="A124" s="317"/>
      <c r="B124" s="317"/>
      <c r="C124" s="577"/>
      <c r="D124" s="577"/>
      <c r="E124" s="577"/>
      <c r="F124" s="317"/>
      <c r="G124" s="317"/>
    </row>
    <row r="125" spans="1:7" ht="18">
      <c r="A125" s="317"/>
      <c r="B125" s="317"/>
      <c r="C125" s="577"/>
      <c r="D125" s="577"/>
      <c r="E125" s="577"/>
      <c r="F125" s="317"/>
      <c r="G125" s="317"/>
    </row>
    <row r="126" spans="1:7" ht="18">
      <c r="A126" s="317"/>
      <c r="B126" s="317"/>
      <c r="C126" s="577"/>
      <c r="D126" s="577"/>
      <c r="E126" s="577"/>
      <c r="F126" s="317"/>
      <c r="G126" s="317"/>
    </row>
    <row r="127" spans="1:7" ht="18">
      <c r="A127" s="317"/>
      <c r="B127" s="317"/>
      <c r="C127" s="577"/>
      <c r="D127" s="577"/>
      <c r="E127" s="577"/>
      <c r="F127" s="317"/>
      <c r="G127" s="317"/>
    </row>
    <row r="128" spans="1:7" ht="18">
      <c r="A128" s="317"/>
      <c r="B128" s="317"/>
      <c r="C128" s="577"/>
      <c r="D128" s="577"/>
      <c r="E128" s="577"/>
      <c r="F128" s="317"/>
      <c r="G128" s="317"/>
    </row>
    <row r="129" spans="1:7" ht="18">
      <c r="A129" s="317"/>
      <c r="B129" s="317"/>
      <c r="C129" s="577"/>
      <c r="D129" s="577"/>
      <c r="E129" s="577"/>
      <c r="F129" s="317"/>
      <c r="G129" s="317"/>
    </row>
    <row r="130" spans="1:7" ht="18">
      <c r="A130" s="317"/>
      <c r="B130" s="317"/>
      <c r="C130" s="577"/>
      <c r="D130" s="577"/>
      <c r="E130" s="577"/>
      <c r="F130" s="317"/>
      <c r="G130" s="317"/>
    </row>
    <row r="131" spans="1:7" ht="18">
      <c r="A131" s="317"/>
      <c r="B131" s="317"/>
      <c r="C131" s="577"/>
      <c r="D131" s="577"/>
      <c r="E131" s="577"/>
      <c r="F131" s="317"/>
      <c r="G131" s="317"/>
    </row>
    <row r="132" spans="1:7" ht="18">
      <c r="A132" s="317"/>
      <c r="B132" s="317"/>
      <c r="C132" s="577"/>
      <c r="D132" s="577"/>
      <c r="E132" s="577"/>
      <c r="F132" s="317"/>
      <c r="G132" s="317"/>
    </row>
    <row r="133" spans="1:7" ht="18">
      <c r="A133" s="317"/>
      <c r="B133" s="317"/>
      <c r="C133" s="577"/>
      <c r="D133" s="577"/>
      <c r="E133" s="577"/>
      <c r="F133" s="317"/>
      <c r="G133" s="317"/>
    </row>
    <row r="134" spans="1:7" ht="18">
      <c r="A134" s="317"/>
      <c r="B134" s="317"/>
      <c r="C134" s="577"/>
      <c r="D134" s="577"/>
      <c r="E134" s="577"/>
      <c r="F134" s="317"/>
      <c r="G134" s="317"/>
    </row>
    <row r="135" spans="1:7" ht="18">
      <c r="A135" s="317"/>
      <c r="B135" s="317"/>
      <c r="C135" s="577"/>
      <c r="D135" s="577"/>
      <c r="E135" s="577"/>
      <c r="F135" s="317"/>
      <c r="G135" s="317"/>
    </row>
    <row r="136" spans="1:7" ht="18">
      <c r="A136" s="317"/>
      <c r="B136" s="317"/>
      <c r="C136" s="577"/>
      <c r="D136" s="577"/>
      <c r="E136" s="577"/>
      <c r="F136" s="317"/>
      <c r="G136" s="317"/>
    </row>
    <row r="137" spans="1:7" ht="18">
      <c r="A137" s="317"/>
      <c r="B137" s="317"/>
      <c r="C137" s="577"/>
      <c r="D137" s="577"/>
      <c r="E137" s="577"/>
      <c r="F137" s="317"/>
      <c r="G137" s="317"/>
    </row>
    <row r="138" spans="1:7" ht="18">
      <c r="A138" s="317"/>
      <c r="B138" s="317"/>
      <c r="C138" s="577"/>
      <c r="D138" s="577"/>
      <c r="E138" s="577"/>
      <c r="F138" s="317"/>
      <c r="G138" s="317"/>
    </row>
    <row r="139" spans="1:7" ht="18">
      <c r="A139" s="317"/>
      <c r="B139" s="317"/>
      <c r="C139" s="577"/>
      <c r="D139" s="577"/>
      <c r="E139" s="577"/>
      <c r="F139" s="317"/>
      <c r="G139" s="317"/>
    </row>
    <row r="140" spans="1:7" ht="18">
      <c r="A140" s="317"/>
      <c r="B140" s="317"/>
      <c r="C140" s="577"/>
      <c r="D140" s="577"/>
      <c r="E140" s="577"/>
      <c r="F140" s="317"/>
      <c r="G140" s="317"/>
    </row>
    <row r="141" spans="1:7" ht="18">
      <c r="A141" s="317"/>
      <c r="B141" s="317"/>
      <c r="C141" s="577"/>
      <c r="D141" s="577"/>
      <c r="E141" s="577"/>
      <c r="F141" s="317"/>
      <c r="G141" s="317"/>
    </row>
    <row r="142" spans="1:7" ht="18">
      <c r="A142" s="317"/>
      <c r="B142" s="317"/>
      <c r="C142" s="577"/>
      <c r="D142" s="577"/>
      <c r="E142" s="577"/>
      <c r="F142" s="317"/>
      <c r="G142" s="317"/>
    </row>
    <row r="143" spans="1:7" ht="18">
      <c r="A143" s="317"/>
      <c r="B143" s="317"/>
      <c r="C143" s="577"/>
      <c r="D143" s="577"/>
      <c r="E143" s="577"/>
      <c r="F143" s="317"/>
      <c r="G143" s="317"/>
    </row>
    <row r="144" spans="1:7" ht="18">
      <c r="A144" s="317"/>
      <c r="B144" s="317"/>
      <c r="C144" s="577"/>
      <c r="D144" s="577"/>
      <c r="E144" s="577"/>
      <c r="F144" s="317"/>
      <c r="G144" s="317"/>
    </row>
    <row r="145" spans="1:7" ht="18">
      <c r="A145" s="317"/>
      <c r="B145" s="317"/>
      <c r="C145" s="577"/>
      <c r="D145" s="577"/>
      <c r="E145" s="577"/>
      <c r="F145" s="317"/>
      <c r="G145" s="317"/>
    </row>
    <row r="146" spans="1:7" ht="18">
      <c r="A146" s="317"/>
      <c r="B146" s="317"/>
      <c r="C146" s="577"/>
      <c r="D146" s="577"/>
      <c r="E146" s="577"/>
      <c r="F146" s="317"/>
      <c r="G146" s="317"/>
    </row>
    <row r="147" spans="1:7" ht="18">
      <c r="A147" s="317"/>
      <c r="B147" s="317"/>
      <c r="C147" s="577"/>
      <c r="D147" s="577"/>
      <c r="E147" s="577"/>
      <c r="F147" s="317"/>
      <c r="G147" s="317"/>
    </row>
    <row r="148" spans="1:7" ht="18">
      <c r="A148" s="317"/>
      <c r="B148" s="317"/>
      <c r="C148" s="577"/>
      <c r="D148" s="577"/>
      <c r="E148" s="577"/>
      <c r="F148" s="317"/>
      <c r="G148" s="317"/>
    </row>
    <row r="149" spans="1:7" ht="18">
      <c r="A149" s="317"/>
      <c r="B149" s="317"/>
      <c r="C149" s="577"/>
      <c r="D149" s="577"/>
      <c r="E149" s="577"/>
      <c r="F149" s="317"/>
      <c r="G149" s="317"/>
    </row>
    <row r="150" spans="1:7" ht="18">
      <c r="A150" s="317"/>
      <c r="B150" s="317"/>
      <c r="C150" s="577"/>
      <c r="D150" s="577"/>
      <c r="E150" s="577"/>
      <c r="F150" s="317"/>
      <c r="G150" s="317"/>
    </row>
    <row r="151" spans="1:7" ht="18">
      <c r="A151" s="317"/>
      <c r="B151" s="317"/>
      <c r="C151" s="577"/>
      <c r="D151" s="577"/>
      <c r="E151" s="577"/>
      <c r="F151" s="317"/>
      <c r="G151" s="317"/>
    </row>
    <row r="152" spans="1:7" ht="18">
      <c r="A152" s="317"/>
      <c r="B152" s="317"/>
      <c r="C152" s="577"/>
      <c r="D152" s="577"/>
      <c r="E152" s="577"/>
      <c r="F152" s="317"/>
      <c r="G152" s="317"/>
    </row>
    <row r="153" spans="1:7" ht="18">
      <c r="A153" s="317"/>
      <c r="B153" s="317"/>
      <c r="C153" s="577"/>
      <c r="D153" s="577"/>
      <c r="E153" s="577"/>
      <c r="F153" s="317"/>
      <c r="G153" s="317"/>
    </row>
    <row r="154" spans="1:7" ht="18">
      <c r="A154" s="317"/>
      <c r="B154" s="317"/>
      <c r="C154" s="577"/>
      <c r="D154" s="577"/>
      <c r="E154" s="577"/>
      <c r="F154" s="317"/>
      <c r="G154" s="317"/>
    </row>
    <row r="155" spans="1:7" ht="18">
      <c r="A155" s="317"/>
      <c r="B155" s="317"/>
      <c r="C155" s="577"/>
      <c r="D155" s="577"/>
      <c r="E155" s="577"/>
      <c r="F155" s="317"/>
      <c r="G155" s="317"/>
    </row>
    <row r="156" spans="1:7" ht="18">
      <c r="A156" s="317"/>
      <c r="B156" s="317"/>
      <c r="C156" s="577"/>
      <c r="D156" s="577"/>
      <c r="E156" s="577"/>
      <c r="F156" s="317"/>
      <c r="G156" s="317"/>
    </row>
    <row r="157" spans="1:7" ht="18">
      <c r="A157" s="317"/>
      <c r="B157" s="317"/>
      <c r="C157" s="577"/>
      <c r="D157" s="577"/>
      <c r="E157" s="577"/>
      <c r="F157" s="317"/>
      <c r="G157" s="317"/>
    </row>
    <row r="158" spans="1:7" ht="18">
      <c r="A158" s="317"/>
      <c r="B158" s="317"/>
      <c r="C158" s="577"/>
      <c r="D158" s="577"/>
      <c r="E158" s="577"/>
      <c r="F158" s="317"/>
      <c r="G158" s="317"/>
    </row>
    <row r="159" spans="1:7" ht="18">
      <c r="A159" s="317"/>
      <c r="B159" s="317"/>
      <c r="C159" s="577"/>
      <c r="D159" s="577"/>
      <c r="E159" s="577"/>
      <c r="F159" s="317"/>
      <c r="G159" s="317"/>
    </row>
    <row r="160" spans="1:7" ht="18">
      <c r="A160" s="317"/>
      <c r="B160" s="317"/>
      <c r="C160" s="577"/>
      <c r="D160" s="577"/>
      <c r="E160" s="577"/>
      <c r="F160" s="317"/>
      <c r="G160" s="317"/>
    </row>
    <row r="161" spans="1:7" ht="18">
      <c r="A161" s="317"/>
      <c r="B161" s="317"/>
      <c r="C161" s="577"/>
      <c r="D161" s="577"/>
      <c r="E161" s="577"/>
      <c r="F161" s="317"/>
      <c r="G161" s="317"/>
    </row>
    <row r="162" spans="1:7" ht="18">
      <c r="A162" s="317"/>
      <c r="B162" s="317"/>
      <c r="C162" s="577"/>
      <c r="D162" s="577"/>
      <c r="E162" s="577"/>
      <c r="F162" s="317"/>
      <c r="G162" s="317"/>
    </row>
    <row r="163" spans="1:7" ht="18">
      <c r="A163" s="317"/>
      <c r="B163" s="317"/>
      <c r="C163" s="577"/>
      <c r="D163" s="577"/>
      <c r="E163" s="577"/>
      <c r="F163" s="317"/>
      <c r="G163" s="317"/>
    </row>
    <row r="164" spans="1:7" ht="18">
      <c r="A164" s="317"/>
      <c r="B164" s="317"/>
      <c r="C164" s="577"/>
      <c r="D164" s="577"/>
      <c r="E164" s="577"/>
      <c r="F164" s="317"/>
      <c r="G164" s="317"/>
    </row>
    <row r="165" spans="1:7" ht="18">
      <c r="A165" s="317"/>
      <c r="B165" s="317"/>
      <c r="C165" s="577"/>
      <c r="D165" s="577"/>
      <c r="E165" s="577"/>
      <c r="F165" s="317"/>
      <c r="G165" s="317"/>
    </row>
    <row r="166" spans="1:7" ht="18">
      <c r="A166" s="317"/>
      <c r="B166" s="317"/>
      <c r="C166" s="577"/>
      <c r="D166" s="577"/>
      <c r="E166" s="577"/>
      <c r="F166" s="317"/>
      <c r="G166" s="317"/>
    </row>
    <row r="167" spans="1:7" ht="18">
      <c r="A167" s="317"/>
      <c r="B167" s="317"/>
      <c r="C167" s="577"/>
      <c r="D167" s="577"/>
      <c r="E167" s="577"/>
      <c r="F167" s="317"/>
      <c r="G167" s="317"/>
    </row>
    <row r="168" spans="1:7" ht="18">
      <c r="A168" s="317"/>
      <c r="B168" s="317"/>
      <c r="C168" s="577"/>
      <c r="D168" s="577"/>
      <c r="E168" s="577"/>
      <c r="F168" s="317"/>
      <c r="G168" s="317"/>
    </row>
    <row r="169" spans="1:7" ht="18">
      <c r="A169" s="317"/>
      <c r="B169" s="317"/>
      <c r="C169" s="577"/>
      <c r="D169" s="577"/>
      <c r="E169" s="577"/>
      <c r="F169" s="317"/>
      <c r="G169" s="317"/>
    </row>
    <row r="170" spans="1:7" ht="18">
      <c r="A170" s="317"/>
      <c r="B170" s="317"/>
      <c r="C170" s="577"/>
      <c r="D170" s="577"/>
      <c r="E170" s="577"/>
      <c r="F170" s="317"/>
      <c r="G170" s="317"/>
    </row>
    <row r="171" spans="1:7" ht="18">
      <c r="A171" s="317"/>
      <c r="B171" s="317"/>
      <c r="C171" s="577"/>
      <c r="D171" s="577"/>
      <c r="E171" s="577"/>
      <c r="F171" s="317"/>
      <c r="G171" s="317"/>
    </row>
    <row r="172" spans="1:7" ht="18">
      <c r="A172" s="317"/>
      <c r="B172" s="317"/>
      <c r="C172" s="577"/>
      <c r="D172" s="577"/>
      <c r="E172" s="577"/>
      <c r="F172" s="317"/>
      <c r="G172" s="317"/>
    </row>
    <row r="173" spans="1:7" ht="18">
      <c r="A173" s="317"/>
      <c r="B173" s="317"/>
      <c r="C173" s="577"/>
      <c r="D173" s="577"/>
      <c r="E173" s="577"/>
      <c r="F173" s="317"/>
      <c r="G173" s="317"/>
    </row>
    <row r="174" spans="1:7" ht="18">
      <c r="A174" s="317"/>
      <c r="B174" s="317"/>
      <c r="C174" s="577"/>
      <c r="D174" s="577"/>
      <c r="E174" s="577"/>
      <c r="F174" s="317"/>
      <c r="G174" s="317"/>
    </row>
    <row r="175" spans="1:7" ht="18">
      <c r="A175" s="317"/>
      <c r="B175" s="317"/>
      <c r="C175" s="577"/>
      <c r="D175" s="577"/>
      <c r="E175" s="577"/>
      <c r="F175" s="317"/>
      <c r="G175" s="317"/>
    </row>
    <row r="176" spans="1:7" ht="18">
      <c r="A176" s="317"/>
      <c r="B176" s="317"/>
      <c r="C176" s="577"/>
      <c r="D176" s="577"/>
      <c r="E176" s="577"/>
      <c r="F176" s="317"/>
      <c r="G176" s="317"/>
    </row>
    <row r="177" spans="1:7" ht="18">
      <c r="A177" s="317"/>
      <c r="B177" s="317"/>
      <c r="C177" s="577"/>
      <c r="D177" s="577"/>
      <c r="E177" s="577"/>
      <c r="F177" s="317"/>
      <c r="G177" s="317"/>
    </row>
    <row r="178" spans="1:7" ht="18">
      <c r="A178" s="317"/>
      <c r="B178" s="317"/>
      <c r="C178" s="577"/>
      <c r="D178" s="577"/>
      <c r="E178" s="577"/>
      <c r="F178" s="317"/>
      <c r="G178" s="317"/>
    </row>
    <row r="179" spans="1:7" ht="18">
      <c r="A179" s="317"/>
      <c r="B179" s="317"/>
      <c r="C179" s="577"/>
      <c r="D179" s="577"/>
      <c r="E179" s="577"/>
      <c r="F179" s="317"/>
      <c r="G179" s="317"/>
    </row>
    <row r="180" spans="1:7" ht="18">
      <c r="A180" s="317"/>
      <c r="B180" s="317"/>
      <c r="C180" s="577"/>
      <c r="D180" s="577"/>
      <c r="E180" s="577"/>
      <c r="F180" s="317"/>
      <c r="G180" s="317"/>
    </row>
    <row r="181" spans="1:7" ht="18">
      <c r="A181" s="317"/>
      <c r="B181" s="317"/>
      <c r="C181" s="577"/>
      <c r="D181" s="577"/>
      <c r="E181" s="577"/>
      <c r="F181" s="317"/>
      <c r="G181" s="317"/>
    </row>
    <row r="182" spans="1:7" ht="18">
      <c r="A182" s="317"/>
      <c r="B182" s="317"/>
      <c r="C182" s="577"/>
      <c r="D182" s="577"/>
      <c r="E182" s="577"/>
      <c r="F182" s="317"/>
      <c r="G182" s="317"/>
    </row>
    <row r="183" spans="1:7" ht="18">
      <c r="A183" s="317"/>
      <c r="B183" s="317"/>
      <c r="C183" s="577"/>
      <c r="D183" s="577"/>
      <c r="E183" s="577"/>
      <c r="F183" s="317"/>
      <c r="G183" s="317"/>
    </row>
    <row r="184" spans="1:7" ht="18">
      <c r="A184" s="317"/>
      <c r="B184" s="317"/>
      <c r="C184" s="577"/>
      <c r="D184" s="577"/>
      <c r="E184" s="577"/>
      <c r="F184" s="317"/>
      <c r="G184" s="317"/>
    </row>
    <row r="185" spans="1:7" ht="18">
      <c r="A185" s="317"/>
      <c r="B185" s="317"/>
      <c r="C185" s="577"/>
      <c r="D185" s="577"/>
      <c r="E185" s="577"/>
      <c r="F185" s="317"/>
      <c r="G185" s="317"/>
    </row>
    <row r="186" spans="1:7" ht="18">
      <c r="A186" s="317"/>
      <c r="B186" s="317"/>
      <c r="C186" s="577"/>
      <c r="D186" s="577"/>
      <c r="E186" s="577"/>
      <c r="F186" s="317"/>
      <c r="G186" s="317"/>
    </row>
    <row r="187" spans="1:7" ht="18">
      <c r="A187" s="317"/>
      <c r="B187" s="317"/>
      <c r="C187" s="577"/>
      <c r="D187" s="577"/>
      <c r="E187" s="577"/>
      <c r="F187" s="317"/>
      <c r="G187" s="317"/>
    </row>
    <row r="188" spans="1:7" ht="18">
      <c r="A188" s="317"/>
      <c r="B188" s="317"/>
      <c r="C188" s="577"/>
      <c r="D188" s="577"/>
      <c r="E188" s="577"/>
      <c r="F188" s="317"/>
      <c r="G188" s="317"/>
    </row>
    <row r="189" spans="1:7" ht="18">
      <c r="A189" s="317"/>
      <c r="B189" s="317"/>
      <c r="C189" s="577"/>
      <c r="D189" s="577"/>
      <c r="E189" s="577"/>
      <c r="F189" s="317"/>
      <c r="G189" s="317"/>
    </row>
    <row r="190" spans="1:7" ht="18">
      <c r="A190" s="317"/>
      <c r="B190" s="317"/>
      <c r="C190" s="577"/>
      <c r="D190" s="577"/>
      <c r="E190" s="577"/>
      <c r="F190" s="317"/>
      <c r="G190" s="317"/>
    </row>
    <row r="191" spans="1:7" ht="18">
      <c r="A191" s="317"/>
      <c r="B191" s="317"/>
      <c r="C191" s="577"/>
      <c r="D191" s="577"/>
      <c r="E191" s="577"/>
      <c r="F191" s="317"/>
      <c r="G191" s="317"/>
    </row>
    <row r="192" spans="1:7" ht="18">
      <c r="A192" s="317"/>
      <c r="B192" s="317"/>
      <c r="C192" s="577"/>
      <c r="D192" s="577"/>
      <c r="E192" s="577"/>
      <c r="F192" s="317"/>
      <c r="G192" s="317"/>
    </row>
    <row r="193" spans="1:7" ht="18">
      <c r="A193" s="317"/>
      <c r="B193" s="317"/>
      <c r="C193" s="577"/>
      <c r="D193" s="577"/>
      <c r="E193" s="577"/>
      <c r="F193" s="317"/>
      <c r="G193" s="317"/>
    </row>
    <row r="194" spans="1:7" ht="18">
      <c r="A194" s="317"/>
      <c r="B194" s="317"/>
      <c r="C194" s="577"/>
      <c r="D194" s="577"/>
      <c r="E194" s="577"/>
      <c r="F194" s="317"/>
      <c r="G194" s="317"/>
    </row>
    <row r="195" spans="1:7" ht="18">
      <c r="A195" s="317"/>
      <c r="B195" s="317"/>
      <c r="C195" s="577"/>
      <c r="D195" s="577"/>
      <c r="E195" s="577"/>
      <c r="F195" s="317"/>
      <c r="G195" s="317"/>
    </row>
    <row r="196" spans="1:7" ht="18">
      <c r="A196" s="317"/>
      <c r="B196" s="317"/>
      <c r="C196" s="577"/>
      <c r="D196" s="577"/>
      <c r="E196" s="577"/>
      <c r="F196" s="317"/>
      <c r="G196" s="317"/>
    </row>
    <row r="197" spans="1:7" ht="18">
      <c r="A197" s="317"/>
      <c r="B197" s="317"/>
      <c r="C197" s="577"/>
      <c r="D197" s="577"/>
      <c r="E197" s="577"/>
      <c r="F197" s="317"/>
      <c r="G197" s="317"/>
    </row>
    <row r="198" spans="1:7" ht="18">
      <c r="A198" s="317"/>
      <c r="B198" s="317"/>
      <c r="C198" s="577"/>
      <c r="D198" s="577"/>
      <c r="E198" s="577"/>
      <c r="F198" s="317"/>
      <c r="G198" s="317"/>
    </row>
    <row r="199" spans="1:7" ht="18">
      <c r="A199" s="317"/>
      <c r="B199" s="317"/>
      <c r="C199" s="577"/>
      <c r="D199" s="577"/>
      <c r="E199" s="577"/>
      <c r="F199" s="317"/>
      <c r="G199" s="317"/>
    </row>
    <row r="200" spans="1:7" ht="18">
      <c r="A200" s="317"/>
      <c r="B200" s="317"/>
      <c r="C200" s="577"/>
      <c r="D200" s="577"/>
      <c r="E200" s="577"/>
      <c r="F200" s="317"/>
      <c r="G200" s="317"/>
    </row>
    <row r="201" spans="1:7" ht="18">
      <c r="A201" s="317"/>
      <c r="B201" s="317"/>
      <c r="C201" s="577"/>
      <c r="D201" s="577"/>
      <c r="E201" s="577"/>
      <c r="F201" s="317"/>
      <c r="G201" s="317"/>
    </row>
    <row r="202" spans="1:7" ht="18">
      <c r="A202" s="317"/>
      <c r="B202" s="317"/>
      <c r="C202" s="577"/>
      <c r="D202" s="577"/>
      <c r="E202" s="577"/>
      <c r="F202" s="317"/>
      <c r="G202" s="317"/>
    </row>
    <row r="203" spans="1:7" ht="18">
      <c r="A203" s="317"/>
      <c r="B203" s="317"/>
      <c r="C203" s="577"/>
      <c r="D203" s="577"/>
      <c r="E203" s="577"/>
      <c r="F203" s="317"/>
      <c r="G203" s="317"/>
    </row>
    <row r="204" spans="1:7" ht="18">
      <c r="A204" s="317"/>
      <c r="B204" s="317"/>
      <c r="C204" s="577"/>
      <c r="D204" s="577"/>
      <c r="E204" s="577"/>
      <c r="F204" s="317"/>
      <c r="G204" s="317"/>
    </row>
    <row r="205" spans="1:7" ht="18">
      <c r="A205" s="317"/>
      <c r="B205" s="317"/>
      <c r="C205" s="577"/>
      <c r="D205" s="577"/>
      <c r="E205" s="577"/>
      <c r="F205" s="317"/>
      <c r="G205" s="317"/>
    </row>
    <row r="206" spans="1:7" ht="18">
      <c r="A206" s="317"/>
      <c r="B206" s="317"/>
      <c r="C206" s="577"/>
      <c r="D206" s="577"/>
      <c r="E206" s="577"/>
      <c r="F206" s="317"/>
      <c r="G206" s="317"/>
    </row>
    <row r="207" spans="1:7" ht="18">
      <c r="A207" s="317"/>
      <c r="B207" s="317"/>
      <c r="C207" s="577"/>
      <c r="D207" s="577"/>
      <c r="E207" s="577"/>
      <c r="F207" s="317"/>
      <c r="G207" s="317"/>
    </row>
    <row r="208" spans="1:7" ht="18">
      <c r="A208" s="317"/>
      <c r="B208" s="317"/>
      <c r="C208" s="577"/>
      <c r="D208" s="577"/>
      <c r="E208" s="577"/>
      <c r="F208" s="317"/>
      <c r="G208" s="317"/>
    </row>
    <row r="209" spans="1:7" ht="18">
      <c r="A209" s="317"/>
      <c r="B209" s="317"/>
      <c r="C209" s="577"/>
      <c r="D209" s="577"/>
      <c r="E209" s="577"/>
      <c r="F209" s="317"/>
      <c r="G209" s="317"/>
    </row>
    <row r="210" spans="1:7" ht="18">
      <c r="A210" s="317"/>
      <c r="B210" s="317"/>
      <c r="C210" s="577"/>
      <c r="D210" s="577"/>
      <c r="E210" s="577"/>
      <c r="F210" s="317"/>
      <c r="G210" s="317"/>
    </row>
    <row r="211" spans="1:7" ht="18">
      <c r="A211" s="317"/>
      <c r="B211" s="317"/>
      <c r="C211" s="577"/>
      <c r="D211" s="577"/>
      <c r="E211" s="577"/>
      <c r="F211" s="317"/>
      <c r="G211" s="317"/>
    </row>
    <row r="212" spans="1:7" ht="18">
      <c r="A212" s="317"/>
      <c r="B212" s="317"/>
      <c r="C212" s="577"/>
      <c r="D212" s="577"/>
      <c r="E212" s="577"/>
      <c r="F212" s="317"/>
      <c r="G212" s="317"/>
    </row>
    <row r="213" spans="1:7" ht="18">
      <c r="A213" s="317"/>
      <c r="B213" s="317"/>
      <c r="C213" s="577"/>
      <c r="D213" s="577"/>
      <c r="E213" s="577"/>
      <c r="F213" s="317"/>
      <c r="G213" s="317"/>
    </row>
    <row r="214" spans="1:7" ht="18">
      <c r="A214" s="317"/>
      <c r="B214" s="317"/>
      <c r="C214" s="577"/>
      <c r="D214" s="577"/>
      <c r="E214" s="577"/>
      <c r="F214" s="317"/>
      <c r="G214" s="317"/>
    </row>
    <row r="215" spans="1:7" ht="18">
      <c r="A215" s="317"/>
      <c r="B215" s="317"/>
      <c r="C215" s="577"/>
      <c r="D215" s="577"/>
      <c r="E215" s="577"/>
      <c r="F215" s="317"/>
      <c r="G215" s="317"/>
    </row>
    <row r="216" spans="1:7" ht="18">
      <c r="A216" s="317"/>
      <c r="B216" s="317"/>
      <c r="C216" s="577"/>
      <c r="D216" s="577"/>
      <c r="E216" s="577"/>
      <c r="F216" s="317"/>
      <c r="G216" s="317"/>
    </row>
    <row r="217" spans="1:7" ht="18">
      <c r="A217" s="317"/>
      <c r="B217" s="317"/>
      <c r="C217" s="577"/>
      <c r="D217" s="577"/>
      <c r="E217" s="577"/>
      <c r="F217" s="317"/>
      <c r="G217" s="317"/>
    </row>
    <row r="218" spans="1:7" ht="18">
      <c r="A218" s="317"/>
      <c r="B218" s="317"/>
      <c r="C218" s="577"/>
      <c r="D218" s="577"/>
      <c r="E218" s="577"/>
      <c r="F218" s="317"/>
      <c r="G218" s="317"/>
    </row>
    <row r="219" spans="1:7" ht="18">
      <c r="A219" s="317"/>
      <c r="B219" s="317"/>
      <c r="C219" s="577"/>
      <c r="D219" s="577"/>
      <c r="E219" s="577"/>
      <c r="F219" s="317"/>
      <c r="G219" s="317"/>
    </row>
    <row r="220" spans="1:7" ht="18">
      <c r="A220" s="317"/>
      <c r="B220" s="317"/>
      <c r="C220" s="577"/>
      <c r="D220" s="577"/>
      <c r="E220" s="577"/>
      <c r="F220" s="317"/>
      <c r="G220" s="317"/>
    </row>
    <row r="221" spans="1:7" ht="18">
      <c r="A221" s="317"/>
      <c r="B221" s="317"/>
      <c r="C221" s="577"/>
      <c r="D221" s="577"/>
      <c r="E221" s="577"/>
      <c r="F221" s="317"/>
      <c r="G221" s="317"/>
    </row>
    <row r="222" spans="1:7" ht="18">
      <c r="A222" s="317"/>
      <c r="B222" s="317"/>
      <c r="C222" s="577"/>
      <c r="D222" s="577"/>
      <c r="E222" s="577"/>
      <c r="F222" s="317"/>
      <c r="G222" s="317"/>
    </row>
    <row r="223" spans="1:7" ht="18">
      <c r="A223" s="317"/>
      <c r="B223" s="317"/>
      <c r="C223" s="577"/>
      <c r="D223" s="577"/>
      <c r="E223" s="577"/>
      <c r="F223" s="317"/>
      <c r="G223" s="317"/>
    </row>
    <row r="224" spans="1:7" ht="18">
      <c r="A224" s="317"/>
      <c r="B224" s="317"/>
      <c r="C224" s="577"/>
      <c r="D224" s="577"/>
      <c r="E224" s="577"/>
      <c r="F224" s="317"/>
      <c r="G224" s="317"/>
    </row>
    <row r="225" spans="1:7" ht="18">
      <c r="A225" s="317"/>
      <c r="B225" s="317"/>
      <c r="C225" s="577"/>
      <c r="D225" s="577"/>
      <c r="E225" s="577"/>
      <c r="F225" s="317"/>
      <c r="G225" s="317"/>
    </row>
    <row r="226" spans="1:7" ht="18">
      <c r="A226" s="317"/>
      <c r="B226" s="317"/>
      <c r="C226" s="577"/>
      <c r="D226" s="577"/>
      <c r="E226" s="577"/>
      <c r="F226" s="317"/>
      <c r="G226" s="317"/>
    </row>
    <row r="227" spans="1:7" ht="18">
      <c r="A227" s="317"/>
      <c r="B227" s="317"/>
      <c r="C227" s="577"/>
      <c r="D227" s="577"/>
      <c r="E227" s="577"/>
      <c r="F227" s="317"/>
      <c r="G227" s="317"/>
    </row>
    <row r="228" spans="1:7" ht="18">
      <c r="A228" s="317"/>
      <c r="B228" s="317"/>
      <c r="C228" s="577"/>
      <c r="D228" s="577"/>
      <c r="E228" s="577"/>
      <c r="F228" s="317"/>
      <c r="G228" s="317"/>
    </row>
    <row r="229" spans="1:7" ht="18">
      <c r="A229" s="317"/>
      <c r="B229" s="317"/>
      <c r="C229" s="577"/>
      <c r="D229" s="577"/>
      <c r="E229" s="577"/>
      <c r="F229" s="317"/>
      <c r="G229" s="317"/>
    </row>
    <row r="230" spans="1:7" ht="18">
      <c r="A230" s="317"/>
      <c r="B230" s="317"/>
      <c r="C230" s="577"/>
      <c r="D230" s="577"/>
      <c r="E230" s="577"/>
      <c r="F230" s="317"/>
      <c r="G230" s="317"/>
    </row>
    <row r="231" spans="1:7" ht="18">
      <c r="A231" s="317"/>
      <c r="B231" s="317"/>
      <c r="C231" s="577"/>
      <c r="D231" s="577"/>
      <c r="E231" s="577"/>
      <c r="F231" s="317"/>
      <c r="G231" s="317"/>
    </row>
    <row r="232" spans="1:7" ht="18">
      <c r="A232" s="317"/>
      <c r="B232" s="317"/>
      <c r="C232" s="577"/>
      <c r="D232" s="577"/>
      <c r="E232" s="577"/>
      <c r="F232" s="317"/>
      <c r="G232" s="317"/>
    </row>
    <row r="233" spans="1:7" ht="18">
      <c r="A233" s="317"/>
      <c r="B233" s="317"/>
      <c r="C233" s="577"/>
      <c r="D233" s="577"/>
      <c r="E233" s="577"/>
      <c r="F233" s="317"/>
      <c r="G233" s="317"/>
    </row>
    <row r="234" spans="1:7" ht="18">
      <c r="A234" s="317"/>
      <c r="B234" s="317"/>
      <c r="C234" s="577"/>
      <c r="D234" s="577"/>
      <c r="E234" s="577"/>
      <c r="F234" s="317"/>
      <c r="G234" s="317"/>
    </row>
    <row r="235" spans="1:7" ht="18">
      <c r="A235" s="317"/>
      <c r="B235" s="317"/>
      <c r="C235" s="577"/>
      <c r="D235" s="577"/>
      <c r="E235" s="577"/>
      <c r="F235" s="317"/>
      <c r="G235" s="317"/>
    </row>
    <row r="236" spans="1:7" ht="18">
      <c r="A236" s="317"/>
      <c r="B236" s="317"/>
      <c r="C236" s="577"/>
      <c r="D236" s="577"/>
      <c r="E236" s="577"/>
      <c r="F236" s="317"/>
      <c r="G236" s="317"/>
    </row>
    <row r="237" spans="1:7" ht="18">
      <c r="A237" s="317"/>
      <c r="B237" s="317"/>
      <c r="C237" s="577"/>
      <c r="D237" s="577"/>
      <c r="E237" s="577"/>
      <c r="F237" s="317"/>
      <c r="G237" s="317"/>
    </row>
    <row r="238" spans="1:7" ht="18">
      <c r="A238" s="317"/>
      <c r="B238" s="317"/>
      <c r="C238" s="577"/>
      <c r="D238" s="577"/>
      <c r="E238" s="577"/>
      <c r="F238" s="317"/>
      <c r="G238" s="317"/>
    </row>
    <row r="239" spans="1:7" ht="18">
      <c r="A239" s="317"/>
      <c r="B239" s="317"/>
      <c r="C239" s="577"/>
      <c r="D239" s="577"/>
      <c r="E239" s="577"/>
      <c r="F239" s="317"/>
      <c r="G239" s="317"/>
    </row>
    <row r="240" spans="1:7" ht="18">
      <c r="A240" s="317"/>
      <c r="B240" s="317"/>
      <c r="C240" s="577"/>
      <c r="D240" s="577"/>
      <c r="E240" s="577"/>
      <c r="F240" s="317"/>
      <c r="G240" s="317"/>
    </row>
    <row r="241" spans="1:7" ht="18">
      <c r="A241" s="317"/>
      <c r="B241" s="317"/>
      <c r="C241" s="577"/>
      <c r="D241" s="577"/>
      <c r="E241" s="577"/>
      <c r="F241" s="317"/>
      <c r="G241" s="317"/>
    </row>
    <row r="242" spans="1:7" ht="18">
      <c r="A242" s="317"/>
      <c r="B242" s="317"/>
      <c r="C242" s="577"/>
      <c r="D242" s="577"/>
      <c r="E242" s="577"/>
      <c r="F242" s="317"/>
      <c r="G242" s="317"/>
    </row>
    <row r="243" spans="1:7" ht="18">
      <c r="A243" s="317"/>
      <c r="B243" s="317"/>
      <c r="C243" s="577"/>
      <c r="D243" s="577"/>
      <c r="E243" s="577"/>
      <c r="F243" s="317"/>
      <c r="G243" s="317"/>
    </row>
    <row r="244" spans="1:7" ht="18">
      <c r="A244" s="317"/>
      <c r="B244" s="317"/>
      <c r="C244" s="577"/>
      <c r="D244" s="577"/>
      <c r="E244" s="577"/>
      <c r="F244" s="317"/>
      <c r="G244" s="317"/>
    </row>
    <row r="245" spans="1:7" ht="18">
      <c r="A245" s="317"/>
      <c r="B245" s="317"/>
      <c r="C245" s="577"/>
      <c r="D245" s="577"/>
      <c r="E245" s="577"/>
      <c r="F245" s="317"/>
      <c r="G245" s="317"/>
    </row>
    <row r="246" spans="1:7" ht="18">
      <c r="A246" s="317"/>
      <c r="B246" s="317"/>
      <c r="C246" s="577"/>
      <c r="D246" s="577"/>
      <c r="E246" s="577"/>
      <c r="F246" s="317"/>
      <c r="G246" s="317"/>
    </row>
    <row r="247" spans="1:7" ht="18">
      <c r="A247" s="317"/>
      <c r="B247" s="317"/>
      <c r="C247" s="577"/>
      <c r="D247" s="577"/>
      <c r="E247" s="577"/>
      <c r="F247" s="317"/>
      <c r="G247" s="317"/>
    </row>
    <row r="248" spans="1:7" ht="18">
      <c r="A248" s="317"/>
      <c r="B248" s="317"/>
      <c r="C248" s="577"/>
      <c r="D248" s="577"/>
      <c r="E248" s="577"/>
      <c r="F248" s="317"/>
      <c r="G248" s="317"/>
    </row>
    <row r="249" spans="1:7" ht="18">
      <c r="A249" s="317"/>
      <c r="B249" s="317"/>
      <c r="C249" s="577"/>
      <c r="D249" s="577"/>
      <c r="E249" s="577"/>
      <c r="F249" s="317"/>
      <c r="G249" s="317"/>
    </row>
    <row r="250" spans="1:7" ht="18">
      <c r="A250" s="317"/>
      <c r="B250" s="317"/>
      <c r="C250" s="577"/>
      <c r="D250" s="577"/>
      <c r="E250" s="577"/>
      <c r="F250" s="317"/>
      <c r="G250" s="317"/>
    </row>
    <row r="251" spans="1:7" ht="18">
      <c r="A251" s="317"/>
      <c r="B251" s="317"/>
      <c r="C251" s="577"/>
      <c r="D251" s="577"/>
      <c r="E251" s="577"/>
      <c r="F251" s="317"/>
      <c r="G251" s="317"/>
    </row>
    <row r="252" spans="1:7" ht="18">
      <c r="A252" s="317"/>
      <c r="B252" s="317"/>
      <c r="C252" s="577"/>
      <c r="D252" s="577"/>
      <c r="E252" s="577"/>
      <c r="F252" s="317"/>
      <c r="G252" s="317"/>
    </row>
    <row r="253" spans="1:7" ht="18">
      <c r="A253" s="317"/>
      <c r="B253" s="317"/>
      <c r="C253" s="577"/>
      <c r="D253" s="577"/>
      <c r="E253" s="577"/>
      <c r="F253" s="317"/>
      <c r="G253" s="317"/>
    </row>
    <row r="254" spans="1:7" ht="18">
      <c r="A254" s="317"/>
      <c r="B254" s="317"/>
      <c r="C254" s="577"/>
      <c r="D254" s="577"/>
      <c r="E254" s="577"/>
      <c r="F254" s="317"/>
      <c r="G254" s="317"/>
    </row>
    <row r="255" spans="1:7" ht="18">
      <c r="A255" s="317"/>
      <c r="B255" s="317"/>
      <c r="C255" s="577"/>
      <c r="D255" s="577"/>
      <c r="E255" s="577"/>
      <c r="F255" s="317"/>
      <c r="G255" s="317"/>
    </row>
    <row r="256" spans="1:7" ht="18">
      <c r="A256" s="317"/>
      <c r="B256" s="317"/>
      <c r="C256" s="577"/>
      <c r="D256" s="577"/>
      <c r="E256" s="577"/>
      <c r="F256" s="317"/>
      <c r="G256" s="317"/>
    </row>
    <row r="257" spans="1:7" ht="18">
      <c r="A257" s="317"/>
      <c r="B257" s="317"/>
      <c r="C257" s="577"/>
      <c r="D257" s="577"/>
      <c r="E257" s="577"/>
      <c r="F257" s="317"/>
      <c r="G257" s="317"/>
    </row>
    <row r="258" spans="1:7" ht="18">
      <c r="A258" s="317"/>
      <c r="B258" s="317"/>
      <c r="C258" s="577"/>
      <c r="D258" s="577"/>
      <c r="E258" s="577"/>
      <c r="F258" s="317"/>
      <c r="G258" s="317"/>
    </row>
    <row r="259" spans="1:7" ht="18">
      <c r="A259" s="317"/>
      <c r="B259" s="317"/>
      <c r="C259" s="577"/>
      <c r="D259" s="577"/>
      <c r="E259" s="577"/>
      <c r="F259" s="317"/>
      <c r="G259" s="317"/>
    </row>
    <row r="260" spans="1:7" ht="18">
      <c r="A260" s="317"/>
      <c r="B260" s="317"/>
      <c r="C260" s="577"/>
      <c r="D260" s="577"/>
      <c r="E260" s="577"/>
      <c r="F260" s="317"/>
      <c r="G260" s="317"/>
    </row>
    <row r="261" spans="1:7" ht="18">
      <c r="A261" s="317"/>
      <c r="B261" s="317"/>
      <c r="C261" s="577"/>
      <c r="D261" s="577"/>
      <c r="E261" s="577"/>
      <c r="F261" s="317"/>
      <c r="G261" s="317"/>
    </row>
    <row r="262" spans="1:7" ht="18">
      <c r="A262" s="317"/>
      <c r="B262" s="317"/>
      <c r="C262" s="577"/>
      <c r="D262" s="577"/>
      <c r="E262" s="577"/>
      <c r="F262" s="317"/>
      <c r="G262" s="317"/>
    </row>
    <row r="263" spans="1:7" ht="18">
      <c r="A263" s="317"/>
      <c r="B263" s="317"/>
      <c r="C263" s="577"/>
      <c r="D263" s="577"/>
      <c r="E263" s="577"/>
      <c r="F263" s="317"/>
      <c r="G263" s="317"/>
    </row>
    <row r="264" spans="1:7" ht="18">
      <c r="A264" s="317"/>
      <c r="B264" s="317"/>
      <c r="C264" s="577"/>
      <c r="D264" s="577"/>
      <c r="E264" s="577"/>
      <c r="F264" s="317"/>
      <c r="G264" s="317"/>
    </row>
    <row r="265" spans="1:7" ht="18">
      <c r="A265" s="317"/>
      <c r="B265" s="317"/>
      <c r="C265" s="577"/>
      <c r="D265" s="577"/>
      <c r="E265" s="577"/>
      <c r="F265" s="317"/>
      <c r="G265" s="317"/>
    </row>
    <row r="266" spans="1:7" ht="18">
      <c r="A266" s="317"/>
      <c r="B266" s="317"/>
      <c r="C266" s="577"/>
      <c r="D266" s="577"/>
      <c r="E266" s="577"/>
      <c r="F266" s="317"/>
      <c r="G266" s="317"/>
    </row>
    <row r="267" spans="1:7" ht="18">
      <c r="A267" s="317"/>
      <c r="B267" s="317"/>
      <c r="C267" s="577"/>
      <c r="D267" s="577"/>
      <c r="E267" s="577"/>
      <c r="F267" s="317"/>
      <c r="G267" s="317"/>
    </row>
    <row r="268" spans="1:7" ht="18">
      <c r="A268" s="317"/>
      <c r="B268" s="317"/>
      <c r="C268" s="577"/>
      <c r="D268" s="577"/>
      <c r="E268" s="577"/>
      <c r="F268" s="317"/>
      <c r="G268" s="317"/>
    </row>
    <row r="269" spans="1:7" ht="18">
      <c r="A269" s="317"/>
      <c r="B269" s="317"/>
      <c r="C269" s="577"/>
      <c r="D269" s="577"/>
      <c r="E269" s="577"/>
      <c r="F269" s="317"/>
      <c r="G269" s="317"/>
    </row>
    <row r="270" spans="1:7" ht="18">
      <c r="A270" s="317"/>
      <c r="B270" s="317"/>
      <c r="C270" s="577"/>
      <c r="D270" s="577"/>
      <c r="E270" s="577"/>
      <c r="F270" s="317"/>
      <c r="G270" s="317"/>
    </row>
    <row r="271" spans="1:7" ht="18">
      <c r="A271" s="317"/>
      <c r="B271" s="317"/>
      <c r="C271" s="577"/>
      <c r="D271" s="577"/>
      <c r="E271" s="577"/>
      <c r="F271" s="317"/>
      <c r="G271" s="317"/>
    </row>
    <row r="272" spans="1:7" ht="18">
      <c r="A272" s="317"/>
      <c r="B272" s="317"/>
      <c r="C272" s="577"/>
      <c r="D272" s="577"/>
      <c r="E272" s="577"/>
      <c r="F272" s="317"/>
      <c r="G272" s="317"/>
    </row>
    <row r="273" spans="1:7" ht="18">
      <c r="A273" s="317"/>
      <c r="B273" s="317"/>
      <c r="C273" s="577"/>
      <c r="D273" s="577"/>
      <c r="E273" s="577"/>
      <c r="F273" s="317"/>
      <c r="G273" s="317"/>
    </row>
    <row r="274" spans="1:7" ht="18">
      <c r="A274" s="317"/>
      <c r="B274" s="317"/>
      <c r="C274" s="577"/>
      <c r="D274" s="577"/>
      <c r="E274" s="577"/>
      <c r="F274" s="317"/>
      <c r="G274" s="317"/>
    </row>
    <row r="275" spans="1:7" ht="18">
      <c r="A275" s="317"/>
      <c r="B275" s="317"/>
      <c r="C275" s="577"/>
      <c r="D275" s="577"/>
      <c r="E275" s="577"/>
      <c r="F275" s="317"/>
      <c r="G275" s="317"/>
    </row>
    <row r="276" spans="1:7" ht="18">
      <c r="A276" s="317"/>
      <c r="B276" s="317"/>
      <c r="C276" s="577"/>
      <c r="D276" s="577"/>
      <c r="E276" s="577"/>
      <c r="F276" s="317"/>
      <c r="G276" s="317"/>
    </row>
    <row r="277" spans="1:7" ht="18">
      <c r="A277" s="317"/>
      <c r="B277" s="317"/>
      <c r="C277" s="577"/>
      <c r="D277" s="577"/>
      <c r="E277" s="577"/>
      <c r="F277" s="317"/>
      <c r="G277" s="317"/>
    </row>
    <row r="278" spans="1:7" ht="18">
      <c r="A278" s="317"/>
      <c r="B278" s="317"/>
      <c r="C278" s="577"/>
      <c r="D278" s="577"/>
      <c r="E278" s="577"/>
      <c r="F278" s="317"/>
      <c r="G278" s="317"/>
    </row>
    <row r="279" spans="1:7" ht="18">
      <c r="A279" s="317"/>
      <c r="B279" s="317"/>
      <c r="C279" s="577"/>
      <c r="D279" s="577"/>
      <c r="E279" s="577"/>
      <c r="F279" s="317"/>
      <c r="G279" s="317"/>
    </row>
    <row r="280" spans="1:7" ht="18">
      <c r="A280" s="317"/>
      <c r="B280" s="317"/>
      <c r="C280" s="577"/>
      <c r="D280" s="577"/>
      <c r="E280" s="577"/>
      <c r="F280" s="317"/>
      <c r="G280" s="317"/>
    </row>
    <row r="281" spans="1:7" ht="18">
      <c r="A281" s="317"/>
      <c r="B281" s="317"/>
      <c r="C281" s="577"/>
      <c r="D281" s="577"/>
      <c r="E281" s="577"/>
      <c r="F281" s="317"/>
      <c r="G281" s="317"/>
    </row>
    <row r="282" spans="1:7" ht="18">
      <c r="A282" s="317"/>
      <c r="B282" s="317"/>
      <c r="C282" s="577"/>
      <c r="D282" s="577"/>
      <c r="E282" s="577"/>
      <c r="F282" s="317"/>
      <c r="G282" s="317"/>
    </row>
    <row r="283" spans="1:7" ht="18">
      <c r="A283" s="317"/>
      <c r="B283" s="317"/>
      <c r="C283" s="577"/>
      <c r="D283" s="577"/>
      <c r="E283" s="577"/>
      <c r="F283" s="317"/>
      <c r="G283" s="317"/>
    </row>
    <row r="284" spans="1:7" ht="18">
      <c r="A284" s="317"/>
      <c r="B284" s="317"/>
      <c r="C284" s="577"/>
      <c r="D284" s="577"/>
      <c r="E284" s="577"/>
      <c r="F284" s="317"/>
      <c r="G284" s="317"/>
    </row>
    <row r="285" spans="1:7" ht="18">
      <c r="A285" s="317"/>
      <c r="B285" s="317"/>
      <c r="C285" s="577"/>
      <c r="D285" s="577"/>
      <c r="E285" s="577"/>
      <c r="F285" s="317"/>
      <c r="G285" s="317"/>
    </row>
    <row r="286" spans="1:7" ht="18">
      <c r="A286" s="317"/>
      <c r="B286" s="317"/>
      <c r="C286" s="577"/>
      <c r="D286" s="577"/>
      <c r="E286" s="577"/>
      <c r="F286" s="317"/>
      <c r="G286" s="317"/>
    </row>
    <row r="287" spans="1:7" ht="18">
      <c r="A287" s="317"/>
      <c r="B287" s="317"/>
      <c r="C287" s="577"/>
      <c r="D287" s="577"/>
      <c r="E287" s="577"/>
      <c r="F287" s="317"/>
      <c r="G287" s="317"/>
    </row>
    <row r="288" spans="1:7" ht="18">
      <c r="A288" s="317"/>
      <c r="B288" s="317"/>
      <c r="C288" s="577"/>
      <c r="D288" s="577"/>
      <c r="E288" s="577"/>
      <c r="F288" s="317"/>
      <c r="G288" s="317"/>
    </row>
    <row r="289" spans="1:7" ht="18">
      <c r="A289" s="317"/>
      <c r="B289" s="317"/>
      <c r="C289" s="577"/>
      <c r="D289" s="577"/>
      <c r="E289" s="577"/>
      <c r="F289" s="317"/>
      <c r="G289" s="317"/>
    </row>
    <row r="290" spans="1:7" ht="18">
      <c r="A290" s="317"/>
      <c r="B290" s="317"/>
      <c r="C290" s="577"/>
      <c r="D290" s="577"/>
      <c r="E290" s="577"/>
      <c r="F290" s="317"/>
      <c r="G290" s="317"/>
    </row>
    <row r="291" spans="1:7" ht="18">
      <c r="A291" s="317"/>
      <c r="B291" s="317"/>
      <c r="C291" s="577"/>
      <c r="D291" s="577"/>
      <c r="E291" s="577"/>
      <c r="F291" s="317"/>
      <c r="G291" s="317"/>
    </row>
    <row r="292" spans="1:7" ht="18">
      <c r="A292" s="317"/>
      <c r="B292" s="317"/>
      <c r="C292" s="577"/>
      <c r="D292" s="577"/>
      <c r="E292" s="577"/>
      <c r="F292" s="317"/>
      <c r="G292" s="317"/>
    </row>
    <row r="293" spans="1:7" ht="18">
      <c r="A293" s="317"/>
      <c r="B293" s="317"/>
      <c r="C293" s="577"/>
      <c r="D293" s="577"/>
      <c r="E293" s="577"/>
      <c r="F293" s="317"/>
      <c r="G293" s="317"/>
    </row>
    <row r="294" spans="1:7" ht="18">
      <c r="A294" s="317"/>
      <c r="B294" s="317"/>
      <c r="C294" s="577"/>
      <c r="D294" s="577"/>
      <c r="E294" s="577"/>
      <c r="F294" s="317"/>
      <c r="G294" s="317"/>
    </row>
    <row r="295" spans="1:7" ht="18">
      <c r="A295" s="317"/>
      <c r="B295" s="317"/>
      <c r="C295" s="577"/>
      <c r="D295" s="577"/>
      <c r="E295" s="577"/>
      <c r="F295" s="317"/>
      <c r="G295" s="317"/>
    </row>
    <row r="296" spans="1:7" ht="18">
      <c r="A296" s="317"/>
      <c r="B296" s="317"/>
      <c r="C296" s="577"/>
      <c r="D296" s="577"/>
      <c r="E296" s="577"/>
      <c r="F296" s="317"/>
      <c r="G296" s="317"/>
    </row>
    <row r="297" spans="1:7" ht="18">
      <c r="A297" s="317"/>
      <c r="B297" s="317"/>
      <c r="C297" s="577"/>
      <c r="D297" s="577"/>
      <c r="E297" s="577"/>
      <c r="F297" s="317"/>
      <c r="G297" s="317"/>
    </row>
    <row r="298" spans="1:7" ht="18">
      <c r="A298" s="317"/>
      <c r="B298" s="317"/>
      <c r="C298" s="577"/>
      <c r="D298" s="577"/>
      <c r="E298" s="577"/>
      <c r="F298" s="317"/>
      <c r="G298" s="317"/>
    </row>
    <row r="299" spans="1:7" ht="18">
      <c r="A299" s="317"/>
      <c r="B299" s="317"/>
      <c r="C299" s="577"/>
      <c r="D299" s="577"/>
      <c r="E299" s="577"/>
      <c r="F299" s="317"/>
      <c r="G299" s="317"/>
    </row>
    <row r="300" spans="1:7" ht="18">
      <c r="A300" s="317"/>
      <c r="B300" s="317"/>
      <c r="C300" s="577"/>
      <c r="D300" s="577"/>
      <c r="E300" s="577"/>
      <c r="F300" s="317"/>
      <c r="G300" s="317"/>
    </row>
    <row r="301" spans="1:7" ht="18">
      <c r="A301" s="317"/>
      <c r="B301" s="317"/>
      <c r="C301" s="577"/>
      <c r="D301" s="577"/>
      <c r="E301" s="577"/>
      <c r="F301" s="317"/>
      <c r="G301" s="317"/>
    </row>
    <row r="302" spans="1:7" ht="18">
      <c r="A302" s="317"/>
      <c r="B302" s="317"/>
      <c r="C302" s="577"/>
      <c r="D302" s="577"/>
      <c r="E302" s="577"/>
      <c r="F302" s="317"/>
      <c r="G302" s="317"/>
    </row>
    <row r="303" spans="1:7" ht="18">
      <c r="A303" s="317"/>
      <c r="B303" s="317"/>
      <c r="C303" s="577"/>
      <c r="D303" s="577"/>
      <c r="E303" s="577"/>
      <c r="F303" s="317"/>
      <c r="G303" s="317"/>
    </row>
    <row r="304" spans="1:7" ht="18">
      <c r="A304" s="317"/>
      <c r="B304" s="317"/>
      <c r="C304" s="577"/>
      <c r="D304" s="577"/>
      <c r="E304" s="577"/>
      <c r="F304" s="317"/>
      <c r="G304" s="317"/>
    </row>
    <row r="305" spans="1:7" ht="18">
      <c r="A305" s="317"/>
      <c r="B305" s="317"/>
      <c r="C305" s="577"/>
      <c r="D305" s="577"/>
      <c r="E305" s="577"/>
      <c r="F305" s="317"/>
      <c r="G305" s="317"/>
    </row>
    <row r="306" spans="1:7" ht="18">
      <c r="A306" s="317"/>
      <c r="B306" s="317"/>
      <c r="C306" s="577"/>
      <c r="D306" s="577"/>
      <c r="E306" s="577"/>
      <c r="F306" s="317"/>
      <c r="G306" s="317"/>
    </row>
    <row r="307" spans="1:7" ht="18">
      <c r="A307" s="317"/>
      <c r="B307" s="317"/>
      <c r="C307" s="577"/>
      <c r="D307" s="577"/>
      <c r="E307" s="577"/>
      <c r="F307" s="317"/>
      <c r="G307" s="317"/>
    </row>
    <row r="308" spans="1:7" ht="18">
      <c r="A308" s="317"/>
      <c r="B308" s="317"/>
      <c r="C308" s="577"/>
      <c r="D308" s="577"/>
      <c r="E308" s="577"/>
      <c r="F308" s="317"/>
      <c r="G308" s="317"/>
    </row>
    <row r="309" spans="1:7" ht="18">
      <c r="A309" s="317"/>
      <c r="B309" s="317"/>
      <c r="C309" s="577"/>
      <c r="D309" s="577"/>
      <c r="E309" s="577"/>
      <c r="F309" s="317"/>
      <c r="G309" s="317"/>
    </row>
    <row r="310" spans="1:7" ht="18">
      <c r="A310" s="317"/>
      <c r="B310" s="317"/>
      <c r="C310" s="577"/>
      <c r="D310" s="577"/>
      <c r="E310" s="577"/>
      <c r="F310" s="317"/>
      <c r="G310" s="317"/>
    </row>
    <row r="311" spans="1:7" ht="18">
      <c r="A311" s="317"/>
      <c r="B311" s="317"/>
      <c r="C311" s="577"/>
      <c r="D311" s="577"/>
      <c r="E311" s="577"/>
      <c r="F311" s="317"/>
      <c r="G311" s="317"/>
    </row>
    <row r="312" spans="1:7" ht="18">
      <c r="A312" s="317"/>
      <c r="B312" s="317"/>
      <c r="C312" s="577"/>
      <c r="D312" s="577"/>
      <c r="E312" s="577"/>
      <c r="F312" s="317"/>
      <c r="G312" s="317"/>
    </row>
    <row r="313" spans="1:7" ht="18">
      <c r="A313" s="317"/>
      <c r="B313" s="317"/>
      <c r="C313" s="577"/>
      <c r="D313" s="577"/>
      <c r="E313" s="577"/>
      <c r="F313" s="317"/>
      <c r="G313" s="317"/>
    </row>
    <row r="314" spans="1:7" ht="18">
      <c r="A314" s="317"/>
      <c r="B314" s="317"/>
      <c r="C314" s="577"/>
      <c r="D314" s="577"/>
      <c r="E314" s="577"/>
      <c r="F314" s="317"/>
      <c r="G314" s="317"/>
    </row>
    <row r="315" spans="1:7" ht="18">
      <c r="A315" s="317"/>
      <c r="B315" s="317"/>
      <c r="C315" s="577"/>
      <c r="D315" s="577"/>
      <c r="E315" s="577"/>
      <c r="F315" s="317"/>
      <c r="G315" s="317"/>
    </row>
    <row r="316" spans="1:7" ht="18">
      <c r="A316" s="317"/>
      <c r="B316" s="317"/>
      <c r="C316" s="577"/>
      <c r="D316" s="577"/>
      <c r="E316" s="577"/>
      <c r="F316" s="317"/>
      <c r="G316" s="317"/>
    </row>
    <row r="317" spans="1:7" ht="18">
      <c r="A317" s="317"/>
      <c r="B317" s="317"/>
      <c r="C317" s="577"/>
      <c r="D317" s="577"/>
      <c r="E317" s="577"/>
      <c r="F317" s="317"/>
      <c r="G317" s="317"/>
    </row>
    <row r="318" spans="1:7" ht="18">
      <c r="A318" s="317"/>
      <c r="B318" s="317"/>
      <c r="C318" s="577"/>
      <c r="D318" s="577"/>
      <c r="E318" s="577"/>
      <c r="F318" s="317"/>
      <c r="G318" s="317"/>
    </row>
    <row r="319" spans="1:7" ht="18">
      <c r="A319" s="317"/>
      <c r="B319" s="317"/>
      <c r="C319" s="577"/>
      <c r="D319" s="577"/>
      <c r="E319" s="577"/>
      <c r="F319" s="317"/>
      <c r="G319" s="317"/>
    </row>
    <row r="320" spans="1:7" ht="18">
      <c r="A320" s="317"/>
      <c r="B320" s="317"/>
      <c r="C320" s="577"/>
      <c r="D320" s="577"/>
      <c r="E320" s="577"/>
      <c r="F320" s="317"/>
      <c r="G320" s="317"/>
    </row>
    <row r="321" spans="1:7" ht="18">
      <c r="A321" s="317"/>
      <c r="B321" s="317"/>
      <c r="C321" s="577"/>
      <c r="D321" s="577"/>
      <c r="E321" s="577"/>
      <c r="F321" s="317"/>
      <c r="G321" s="317"/>
    </row>
    <row r="322" spans="1:7" ht="18">
      <c r="A322" s="317"/>
      <c r="B322" s="317"/>
      <c r="C322" s="577"/>
      <c r="D322" s="577"/>
      <c r="E322" s="577"/>
      <c r="F322" s="317"/>
      <c r="G322" s="317"/>
    </row>
    <row r="323" spans="1:7" ht="18">
      <c r="A323" s="317"/>
      <c r="B323" s="317"/>
      <c r="C323" s="577"/>
      <c r="D323" s="577"/>
      <c r="E323" s="577"/>
      <c r="F323" s="317"/>
      <c r="G323" s="317"/>
    </row>
    <row r="324" spans="1:7" ht="18">
      <c r="A324" s="317"/>
      <c r="B324" s="317"/>
      <c r="C324" s="577"/>
      <c r="D324" s="577"/>
      <c r="E324" s="577"/>
      <c r="F324" s="317"/>
      <c r="G324" s="317"/>
    </row>
    <row r="325" spans="1:7" ht="18">
      <c r="A325" s="317"/>
      <c r="B325" s="317"/>
      <c r="C325" s="577"/>
      <c r="D325" s="577"/>
      <c r="E325" s="577"/>
      <c r="F325" s="317"/>
      <c r="G325" s="317"/>
    </row>
    <row r="326" spans="1:7" ht="18">
      <c r="A326" s="317"/>
      <c r="B326" s="317"/>
      <c r="C326" s="577"/>
      <c r="D326" s="577"/>
      <c r="E326" s="577"/>
      <c r="F326" s="317"/>
      <c r="G326" s="317"/>
    </row>
    <row r="327" spans="1:7" ht="18">
      <c r="A327" s="317"/>
      <c r="B327" s="317"/>
      <c r="C327" s="577"/>
      <c r="D327" s="577"/>
      <c r="E327" s="577"/>
      <c r="F327" s="317"/>
      <c r="G327" s="317"/>
    </row>
    <row r="328" spans="1:7" ht="18">
      <c r="A328" s="317"/>
      <c r="B328" s="317"/>
      <c r="C328" s="577"/>
      <c r="D328" s="577"/>
      <c r="E328" s="577"/>
      <c r="F328" s="317"/>
      <c r="G328" s="317"/>
    </row>
    <row r="329" spans="1:7" ht="18">
      <c r="A329" s="317"/>
      <c r="B329" s="317"/>
      <c r="C329" s="577"/>
      <c r="D329" s="577"/>
      <c r="E329" s="577"/>
      <c r="F329" s="317"/>
      <c r="G329" s="317"/>
    </row>
    <row r="330" spans="1:7" ht="18">
      <c r="A330" s="317"/>
      <c r="B330" s="317"/>
      <c r="C330" s="577"/>
      <c r="D330" s="577"/>
      <c r="E330" s="577"/>
      <c r="F330" s="317"/>
      <c r="G330" s="317"/>
    </row>
    <row r="331" spans="1:7" ht="18">
      <c r="A331" s="317"/>
      <c r="B331" s="317"/>
      <c r="C331" s="577"/>
      <c r="D331" s="577"/>
      <c r="E331" s="577"/>
      <c r="F331" s="317"/>
      <c r="G331" s="317"/>
    </row>
    <row r="332" spans="1:7" ht="18">
      <c r="A332" s="317"/>
      <c r="B332" s="317"/>
      <c r="C332" s="577"/>
      <c r="D332" s="577"/>
      <c r="E332" s="577"/>
      <c r="F332" s="317"/>
      <c r="G332" s="317"/>
    </row>
    <row r="333" spans="1:7" ht="18">
      <c r="A333" s="317"/>
      <c r="B333" s="317"/>
      <c r="C333" s="577"/>
      <c r="D333" s="577"/>
      <c r="E333" s="577"/>
      <c r="F333" s="317"/>
      <c r="G333" s="317"/>
    </row>
    <row r="334" spans="1:7" ht="18">
      <c r="A334" s="317"/>
      <c r="B334" s="317"/>
      <c r="C334" s="577"/>
      <c r="D334" s="577"/>
      <c r="E334" s="577"/>
      <c r="F334" s="317"/>
      <c r="G334" s="317"/>
    </row>
    <row r="335" spans="1:7" ht="18">
      <c r="A335" s="317"/>
      <c r="B335" s="317"/>
      <c r="C335" s="577"/>
      <c r="D335" s="577"/>
      <c r="E335" s="577"/>
      <c r="F335" s="317"/>
      <c r="G335" s="317"/>
    </row>
    <row r="336" spans="1:7" ht="18">
      <c r="A336" s="317"/>
      <c r="B336" s="317"/>
      <c r="C336" s="577"/>
      <c r="D336" s="577"/>
      <c r="E336" s="577"/>
      <c r="F336" s="317"/>
      <c r="G336" s="317"/>
    </row>
    <row r="337" spans="1:7" ht="18">
      <c r="A337" s="317"/>
      <c r="B337" s="317"/>
      <c r="C337" s="577"/>
      <c r="D337" s="577"/>
      <c r="E337" s="577"/>
      <c r="F337" s="317"/>
      <c r="G337" s="317"/>
    </row>
    <row r="338" spans="1:7" ht="18">
      <c r="A338" s="317"/>
      <c r="B338" s="317"/>
      <c r="C338" s="577"/>
      <c r="D338" s="577"/>
      <c r="E338" s="577"/>
      <c r="F338" s="317"/>
      <c r="G338" s="317"/>
    </row>
    <row r="339" spans="1:7" ht="18">
      <c r="A339" s="317"/>
      <c r="B339" s="317"/>
      <c r="C339" s="577"/>
      <c r="D339" s="577"/>
      <c r="E339" s="577"/>
      <c r="F339" s="317"/>
      <c r="G339" s="317"/>
    </row>
    <row r="340" spans="1:7" ht="18">
      <c r="A340" s="317"/>
      <c r="B340" s="317"/>
      <c r="C340" s="577"/>
      <c r="D340" s="577"/>
      <c r="E340" s="577"/>
      <c r="F340" s="317"/>
      <c r="G340" s="317"/>
    </row>
    <row r="341" spans="1:7" ht="18">
      <c r="A341" s="317"/>
      <c r="B341" s="317"/>
      <c r="C341" s="577"/>
      <c r="D341" s="577"/>
      <c r="E341" s="577"/>
      <c r="F341" s="317"/>
      <c r="G341" s="317"/>
    </row>
    <row r="342" spans="1:7" ht="18">
      <c r="A342" s="317"/>
      <c r="B342" s="317"/>
      <c r="C342" s="577"/>
      <c r="D342" s="577"/>
      <c r="E342" s="577"/>
      <c r="F342" s="317"/>
      <c r="G342" s="317"/>
    </row>
    <row r="343" spans="1:7" ht="18">
      <c r="A343" s="317"/>
      <c r="B343" s="317"/>
      <c r="C343" s="577"/>
      <c r="D343" s="577"/>
      <c r="E343" s="577"/>
      <c r="F343" s="317"/>
      <c r="G343" s="317"/>
    </row>
    <row r="344" spans="1:7" ht="18">
      <c r="A344" s="317"/>
      <c r="B344" s="317"/>
      <c r="C344" s="577"/>
      <c r="D344" s="577"/>
      <c r="E344" s="577"/>
      <c r="F344" s="317"/>
      <c r="G344" s="317"/>
    </row>
    <row r="345" spans="1:7" ht="18">
      <c r="A345" s="317"/>
      <c r="B345" s="317"/>
      <c r="C345" s="577"/>
      <c r="D345" s="577"/>
      <c r="E345" s="577"/>
      <c r="F345" s="317"/>
      <c r="G345" s="317"/>
    </row>
    <row r="346" spans="1:7" ht="18">
      <c r="A346" s="317"/>
      <c r="B346" s="317"/>
      <c r="C346" s="577"/>
      <c r="D346" s="577"/>
      <c r="E346" s="577"/>
      <c r="F346" s="317"/>
      <c r="G346" s="317"/>
    </row>
    <row r="347" spans="1:7" ht="18">
      <c r="A347" s="317"/>
      <c r="B347" s="317"/>
      <c r="C347" s="577"/>
      <c r="D347" s="577"/>
      <c r="E347" s="577"/>
      <c r="F347" s="317"/>
      <c r="G347" s="317"/>
    </row>
    <row r="348" spans="1:7" ht="18">
      <c r="A348" s="317"/>
      <c r="B348" s="317"/>
      <c r="C348" s="577"/>
      <c r="D348" s="577"/>
      <c r="E348" s="577"/>
      <c r="F348" s="317"/>
      <c r="G348" s="317"/>
    </row>
    <row r="349" spans="1:7" ht="18">
      <c r="A349" s="317"/>
      <c r="B349" s="317"/>
      <c r="C349" s="577"/>
      <c r="D349" s="577"/>
      <c r="E349" s="577"/>
      <c r="F349" s="317"/>
      <c r="G349" s="317"/>
    </row>
    <row r="350" spans="1:7" ht="18">
      <c r="A350" s="317"/>
      <c r="B350" s="317"/>
      <c r="C350" s="577"/>
      <c r="D350" s="577"/>
      <c r="E350" s="577"/>
      <c r="F350" s="317"/>
      <c r="G350" s="317"/>
    </row>
    <row r="351" spans="1:7" ht="18">
      <c r="A351" s="317"/>
      <c r="B351" s="317"/>
      <c r="C351" s="577"/>
      <c r="D351" s="577"/>
      <c r="E351" s="577"/>
      <c r="F351" s="317"/>
      <c r="G351" s="317"/>
    </row>
    <row r="352" spans="1:7" ht="18">
      <c r="A352" s="317"/>
      <c r="B352" s="317"/>
      <c r="C352" s="577"/>
      <c r="D352" s="577"/>
      <c r="E352" s="577"/>
      <c r="F352" s="317"/>
      <c r="G352" s="317"/>
    </row>
    <row r="353" spans="1:7" ht="18">
      <c r="A353" s="317"/>
      <c r="B353" s="317"/>
      <c r="C353" s="577"/>
      <c r="D353" s="577"/>
      <c r="E353" s="577"/>
      <c r="F353" s="317"/>
      <c r="G353" s="317"/>
    </row>
    <row r="354" spans="1:7" ht="18">
      <c r="A354" s="317"/>
      <c r="B354" s="317"/>
      <c r="C354" s="577"/>
      <c r="D354" s="577"/>
      <c r="E354" s="577"/>
      <c r="F354" s="317"/>
      <c r="G354" s="317"/>
    </row>
    <row r="355" spans="1:7" ht="18">
      <c r="A355" s="317"/>
      <c r="B355" s="317"/>
      <c r="C355" s="577"/>
      <c r="D355" s="577"/>
      <c r="E355" s="577"/>
      <c r="F355" s="317"/>
      <c r="G355" s="317"/>
    </row>
    <row r="356" spans="1:7" ht="18">
      <c r="A356" s="317"/>
      <c r="B356" s="317"/>
      <c r="C356" s="577"/>
      <c r="D356" s="577"/>
      <c r="E356" s="577"/>
      <c r="F356" s="317"/>
      <c r="G356" s="317"/>
    </row>
    <row r="357" spans="1:7" ht="18">
      <c r="A357" s="317"/>
      <c r="B357" s="317"/>
      <c r="C357" s="577"/>
      <c r="D357" s="577"/>
      <c r="E357" s="577"/>
      <c r="F357" s="317"/>
      <c r="G357" s="317"/>
    </row>
    <row r="358" spans="1:7" ht="18">
      <c r="A358" s="317"/>
      <c r="B358" s="317"/>
      <c r="C358" s="577"/>
      <c r="D358" s="577"/>
      <c r="E358" s="577"/>
      <c r="F358" s="317"/>
      <c r="G358" s="317"/>
    </row>
    <row r="359" spans="1:7" ht="18">
      <c r="A359" s="317"/>
      <c r="B359" s="317"/>
      <c r="C359" s="577"/>
      <c r="D359" s="577"/>
      <c r="E359" s="577"/>
      <c r="F359" s="317"/>
      <c r="G359" s="317"/>
    </row>
    <row r="360" spans="1:7" ht="18">
      <c r="A360" s="317"/>
      <c r="B360" s="317"/>
      <c r="C360" s="577"/>
      <c r="D360" s="577"/>
      <c r="E360" s="577"/>
      <c r="F360" s="317"/>
      <c r="G360" s="317"/>
    </row>
    <row r="361" spans="1:7" ht="18">
      <c r="A361" s="317"/>
      <c r="B361" s="317"/>
      <c r="C361" s="577"/>
      <c r="D361" s="577"/>
      <c r="E361" s="577"/>
      <c r="F361" s="317"/>
      <c r="G361" s="317"/>
    </row>
    <row r="362" spans="1:7" ht="18">
      <c r="A362" s="317"/>
      <c r="B362" s="317"/>
      <c r="C362" s="577"/>
      <c r="D362" s="577"/>
      <c r="E362" s="577"/>
      <c r="F362" s="317"/>
      <c r="G362" s="317"/>
    </row>
    <row r="363" spans="1:7" ht="18">
      <c r="A363" s="317"/>
      <c r="B363" s="317"/>
      <c r="C363" s="577"/>
      <c r="D363" s="577"/>
      <c r="E363" s="577"/>
      <c r="F363" s="317"/>
      <c r="G363" s="317"/>
    </row>
    <row r="364" spans="1:7" ht="18">
      <c r="A364" s="317"/>
      <c r="B364" s="317"/>
      <c r="C364" s="577"/>
      <c r="D364" s="577"/>
      <c r="E364" s="577"/>
      <c r="F364" s="317"/>
      <c r="G364" s="317"/>
    </row>
    <row r="365" spans="1:7" ht="18">
      <c r="A365" s="317"/>
      <c r="B365" s="317"/>
      <c r="C365" s="577"/>
      <c r="D365" s="577"/>
      <c r="E365" s="577"/>
      <c r="F365" s="317"/>
      <c r="G365" s="317"/>
    </row>
    <row r="366" spans="1:7" ht="18">
      <c r="A366" s="317"/>
      <c r="B366" s="317"/>
      <c r="C366" s="577"/>
      <c r="D366" s="577"/>
      <c r="E366" s="577"/>
      <c r="F366" s="317"/>
      <c r="G366" s="317"/>
    </row>
    <row r="367" spans="1:7" ht="18">
      <c r="A367" s="317"/>
      <c r="B367" s="317"/>
      <c r="C367" s="577"/>
      <c r="D367" s="577"/>
      <c r="E367" s="577"/>
      <c r="F367" s="317"/>
      <c r="G367" s="317"/>
    </row>
    <row r="368" spans="1:7" ht="18">
      <c r="A368" s="317"/>
      <c r="B368" s="317"/>
      <c r="C368" s="577"/>
      <c r="D368" s="577"/>
      <c r="E368" s="577"/>
      <c r="F368" s="317"/>
      <c r="G368" s="317"/>
    </row>
    <row r="369" spans="1:7" ht="18">
      <c r="A369" s="317"/>
      <c r="B369" s="317"/>
      <c r="C369" s="577"/>
      <c r="D369" s="577"/>
      <c r="E369" s="577"/>
      <c r="F369" s="317"/>
      <c r="G369" s="317"/>
    </row>
    <row r="370" spans="1:7" ht="18">
      <c r="A370" s="317"/>
      <c r="B370" s="317"/>
      <c r="C370" s="577"/>
      <c r="D370" s="577"/>
      <c r="E370" s="577"/>
      <c r="F370" s="317"/>
      <c r="G370" s="317"/>
    </row>
    <row r="371" spans="1:7" ht="18">
      <c r="A371" s="317"/>
      <c r="B371" s="317"/>
      <c r="C371" s="577"/>
      <c r="D371" s="577"/>
      <c r="E371" s="577"/>
      <c r="F371" s="317"/>
      <c r="G371" s="317"/>
    </row>
    <row r="372" spans="1:7" ht="18">
      <c r="A372" s="317"/>
      <c r="B372" s="317"/>
      <c r="C372" s="577"/>
      <c r="D372" s="577"/>
      <c r="E372" s="577"/>
      <c r="F372" s="317"/>
      <c r="G372" s="317"/>
    </row>
    <row r="373" spans="1:7" ht="18">
      <c r="A373" s="317"/>
      <c r="B373" s="317"/>
      <c r="C373" s="577"/>
      <c r="D373" s="577"/>
      <c r="E373" s="577"/>
      <c r="F373" s="317"/>
      <c r="G373" s="317"/>
    </row>
    <row r="374" spans="1:7" ht="18">
      <c r="A374" s="317"/>
      <c r="B374" s="317"/>
      <c r="C374" s="577"/>
      <c r="D374" s="577"/>
      <c r="E374" s="577"/>
      <c r="F374" s="317"/>
      <c r="G374" s="317"/>
    </row>
    <row r="375" spans="1:7" ht="18">
      <c r="A375" s="317"/>
      <c r="B375" s="317"/>
      <c r="C375" s="577"/>
      <c r="D375" s="577"/>
      <c r="E375" s="577"/>
      <c r="F375" s="317"/>
      <c r="G375" s="317"/>
    </row>
    <row r="376" spans="1:7" ht="18">
      <c r="A376" s="317"/>
      <c r="B376" s="317"/>
      <c r="C376" s="577"/>
      <c r="D376" s="577"/>
      <c r="E376" s="577"/>
      <c r="F376" s="317"/>
      <c r="G376" s="317"/>
    </row>
    <row r="377" spans="1:7" ht="18">
      <c r="A377" s="317"/>
      <c r="B377" s="317"/>
      <c r="C377" s="577"/>
      <c r="D377" s="577"/>
      <c r="E377" s="577"/>
      <c r="F377" s="317"/>
      <c r="G377" s="317"/>
    </row>
    <row r="378" spans="1:7" ht="18">
      <c r="A378" s="317"/>
      <c r="B378" s="317"/>
      <c r="C378" s="577"/>
      <c r="D378" s="577"/>
      <c r="E378" s="577"/>
      <c r="F378" s="317"/>
      <c r="G378" s="317"/>
    </row>
    <row r="379" spans="1:7" ht="18">
      <c r="A379" s="317"/>
      <c r="B379" s="317"/>
      <c r="C379" s="577"/>
      <c r="D379" s="577"/>
      <c r="E379" s="577"/>
      <c r="F379" s="317"/>
      <c r="G379" s="317"/>
    </row>
    <row r="380" spans="1:7" ht="18">
      <c r="A380" s="317"/>
      <c r="B380" s="317"/>
      <c r="C380" s="577"/>
      <c r="D380" s="577"/>
      <c r="E380" s="577"/>
      <c r="F380" s="317"/>
      <c r="G380" s="317"/>
    </row>
    <row r="381" spans="1:7" ht="18">
      <c r="A381" s="317"/>
      <c r="B381" s="317"/>
      <c r="C381" s="577"/>
      <c r="D381" s="577"/>
      <c r="E381" s="577"/>
      <c r="F381" s="317"/>
      <c r="G381" s="317"/>
    </row>
    <row r="382" spans="1:7" ht="18">
      <c r="A382" s="317"/>
      <c r="B382" s="317"/>
      <c r="C382" s="577"/>
      <c r="D382" s="577"/>
      <c r="E382" s="577"/>
      <c r="F382" s="317"/>
      <c r="G382" s="317"/>
    </row>
    <row r="383" spans="1:7" ht="18">
      <c r="A383" s="317"/>
      <c r="B383" s="317"/>
      <c r="C383" s="577"/>
      <c r="D383" s="577"/>
      <c r="E383" s="577"/>
      <c r="F383" s="317"/>
      <c r="G383" s="317"/>
    </row>
    <row r="384" spans="1:7" ht="18">
      <c r="A384" s="317"/>
      <c r="B384" s="317"/>
      <c r="C384" s="577"/>
      <c r="D384" s="577"/>
      <c r="E384" s="577"/>
      <c r="F384" s="317"/>
      <c r="G384" s="317"/>
    </row>
    <row r="385" spans="1:7" ht="18">
      <c r="A385" s="317"/>
      <c r="B385" s="317"/>
      <c r="C385" s="577"/>
      <c r="D385" s="577"/>
      <c r="E385" s="577"/>
      <c r="F385" s="317"/>
      <c r="G385" s="317"/>
    </row>
    <row r="386" spans="1:7" ht="18">
      <c r="A386" s="317"/>
      <c r="B386" s="317"/>
      <c r="C386" s="577"/>
      <c r="D386" s="577"/>
      <c r="E386" s="577"/>
      <c r="F386" s="317"/>
      <c r="G386" s="317"/>
    </row>
    <row r="387" spans="1:7" ht="18">
      <c r="A387" s="317"/>
      <c r="B387" s="317"/>
      <c r="C387" s="577"/>
      <c r="D387" s="577"/>
      <c r="E387" s="577"/>
      <c r="F387" s="317"/>
      <c r="G387" s="317"/>
    </row>
    <row r="388" spans="1:7" ht="18">
      <c r="A388" s="317"/>
      <c r="B388" s="317"/>
      <c r="C388" s="577"/>
      <c r="D388" s="577"/>
      <c r="E388" s="577"/>
      <c r="F388" s="317"/>
      <c r="G388" s="317"/>
    </row>
    <row r="389" spans="1:7" ht="18">
      <c r="A389" s="317"/>
      <c r="B389" s="317"/>
      <c r="C389" s="577"/>
      <c r="D389" s="577"/>
      <c r="E389" s="577"/>
      <c r="F389" s="317"/>
      <c r="G389" s="317"/>
    </row>
    <row r="390" spans="1:7" ht="18">
      <c r="A390" s="317"/>
      <c r="B390" s="317"/>
      <c r="C390" s="577"/>
      <c r="D390" s="577"/>
      <c r="E390" s="577"/>
      <c r="F390" s="317"/>
      <c r="G390" s="317"/>
    </row>
    <row r="391" spans="1:7" ht="18">
      <c r="A391" s="317"/>
      <c r="B391" s="317"/>
      <c r="C391" s="577"/>
      <c r="D391" s="577"/>
      <c r="E391" s="577"/>
      <c r="F391" s="317"/>
      <c r="G391" s="317"/>
    </row>
    <row r="392" spans="1:7" ht="18">
      <c r="A392" s="317"/>
      <c r="B392" s="317"/>
      <c r="C392" s="577"/>
      <c r="D392" s="577"/>
      <c r="E392" s="577"/>
      <c r="F392" s="317"/>
      <c r="G392" s="317"/>
    </row>
    <row r="393" spans="1:7" ht="18">
      <c r="A393" s="317"/>
      <c r="B393" s="317"/>
      <c r="C393" s="577"/>
      <c r="D393" s="577"/>
      <c r="E393" s="577"/>
      <c r="F393" s="317"/>
      <c r="G393" s="317"/>
    </row>
    <row r="394" spans="1:7" ht="18">
      <c r="A394" s="317"/>
      <c r="B394" s="317"/>
      <c r="C394" s="577"/>
      <c r="D394" s="577"/>
      <c r="E394" s="577"/>
      <c r="F394" s="317"/>
      <c r="G394" s="317"/>
    </row>
    <row r="395" spans="1:7" ht="18">
      <c r="A395" s="317"/>
      <c r="B395" s="317"/>
      <c r="C395" s="577"/>
      <c r="D395" s="577"/>
      <c r="E395" s="577"/>
      <c r="F395" s="317"/>
      <c r="G395" s="317"/>
    </row>
    <row r="396" spans="1:7" ht="18">
      <c r="A396" s="317"/>
      <c r="B396" s="317"/>
      <c r="C396" s="577"/>
      <c r="D396" s="577"/>
      <c r="E396" s="577"/>
      <c r="F396" s="317"/>
      <c r="G396" s="317"/>
    </row>
    <row r="397" spans="1:7" ht="18">
      <c r="A397" s="317"/>
      <c r="B397" s="317"/>
      <c r="C397" s="577"/>
      <c r="D397" s="577"/>
      <c r="E397" s="577"/>
      <c r="F397" s="317"/>
      <c r="G397" s="317"/>
    </row>
    <row r="398" spans="1:7" ht="18">
      <c r="A398" s="317"/>
      <c r="B398" s="317"/>
      <c r="C398" s="577"/>
      <c r="D398" s="577"/>
      <c r="E398" s="577"/>
      <c r="F398" s="317"/>
      <c r="G398" s="317"/>
    </row>
    <row r="399" spans="1:7" ht="18">
      <c r="A399" s="317"/>
      <c r="B399" s="317"/>
      <c r="C399" s="577"/>
      <c r="D399" s="577"/>
      <c r="E399" s="577"/>
      <c r="F399" s="317"/>
      <c r="G399" s="317"/>
    </row>
    <row r="400" spans="1:7" ht="18">
      <c r="A400" s="317"/>
      <c r="B400" s="317"/>
      <c r="C400" s="577"/>
      <c r="D400" s="577"/>
      <c r="E400" s="577"/>
      <c r="F400" s="317"/>
      <c r="G400" s="317"/>
    </row>
    <row r="401" spans="1:7" ht="18">
      <c r="A401" s="317"/>
      <c r="B401" s="317"/>
      <c r="C401" s="577"/>
      <c r="D401" s="577"/>
      <c r="E401" s="577"/>
      <c r="F401" s="317"/>
      <c r="G401" s="317"/>
    </row>
    <row r="402" spans="1:7" ht="18">
      <c r="A402" s="317"/>
      <c r="B402" s="317"/>
      <c r="C402" s="577"/>
      <c r="D402" s="577"/>
      <c r="E402" s="577"/>
      <c r="F402" s="317"/>
      <c r="G402" s="317"/>
    </row>
    <row r="403" spans="1:7" ht="18">
      <c r="A403" s="317"/>
      <c r="B403" s="317"/>
      <c r="C403" s="577"/>
      <c r="D403" s="577"/>
      <c r="E403" s="577"/>
      <c r="F403" s="317"/>
      <c r="G403" s="317"/>
    </row>
    <row r="404" spans="1:7" ht="18">
      <c r="A404" s="317"/>
      <c r="B404" s="317"/>
      <c r="C404" s="577"/>
      <c r="D404" s="577"/>
      <c r="E404" s="577"/>
      <c r="F404" s="317"/>
      <c r="G404" s="317"/>
    </row>
    <row r="405" spans="1:7" ht="18">
      <c r="A405" s="317"/>
      <c r="B405" s="317"/>
      <c r="C405" s="577"/>
      <c r="D405" s="577"/>
      <c r="E405" s="577"/>
      <c r="F405" s="317"/>
      <c r="G405" s="317"/>
    </row>
    <row r="406" spans="1:7" ht="18">
      <c r="A406" s="317"/>
      <c r="B406" s="317"/>
      <c r="C406" s="577"/>
      <c r="D406" s="577"/>
      <c r="E406" s="577"/>
      <c r="F406" s="317"/>
      <c r="G406" s="317"/>
    </row>
    <row r="407" spans="1:7" ht="18">
      <c r="A407" s="317"/>
      <c r="B407" s="317"/>
      <c r="C407" s="577"/>
      <c r="D407" s="577"/>
      <c r="E407" s="577"/>
      <c r="F407" s="317"/>
      <c r="G407" s="317"/>
    </row>
    <row r="408" spans="1:7" ht="18">
      <c r="A408" s="317"/>
      <c r="B408" s="317"/>
      <c r="C408" s="577"/>
      <c r="D408" s="577"/>
      <c r="E408" s="577"/>
      <c r="F408" s="317"/>
      <c r="G408" s="317"/>
    </row>
    <row r="409" spans="1:7" ht="18">
      <c r="A409" s="317"/>
      <c r="B409" s="317"/>
      <c r="C409" s="577"/>
      <c r="D409" s="577"/>
      <c r="E409" s="577"/>
      <c r="F409" s="317"/>
      <c r="G409" s="317"/>
    </row>
    <row r="410" spans="1:7" ht="18">
      <c r="A410" s="317"/>
      <c r="B410" s="317"/>
      <c r="C410" s="577"/>
      <c r="D410" s="577"/>
      <c r="E410" s="577"/>
      <c r="F410" s="317"/>
      <c r="G410" s="317"/>
    </row>
    <row r="411" spans="1:7" ht="18">
      <c r="A411" s="317"/>
      <c r="B411" s="317"/>
      <c r="C411" s="577"/>
      <c r="D411" s="577"/>
      <c r="E411" s="577"/>
      <c r="F411" s="317"/>
      <c r="G411" s="317"/>
    </row>
    <row r="412" spans="1:7" ht="18">
      <c r="A412" s="317"/>
      <c r="B412" s="317"/>
      <c r="C412" s="577"/>
      <c r="D412" s="577"/>
      <c r="E412" s="577"/>
      <c r="F412" s="317"/>
      <c r="G412" s="317"/>
    </row>
    <row r="413" spans="1:7" ht="18">
      <c r="A413" s="317"/>
      <c r="B413" s="317"/>
      <c r="C413" s="577"/>
      <c r="D413" s="577"/>
      <c r="E413" s="577"/>
      <c r="F413" s="317"/>
      <c r="G413" s="317"/>
    </row>
    <row r="414" spans="1:7" ht="18">
      <c r="A414" s="317"/>
      <c r="B414" s="317"/>
      <c r="C414" s="577"/>
      <c r="D414" s="577"/>
      <c r="E414" s="577"/>
      <c r="F414" s="317"/>
      <c r="G414" s="317"/>
    </row>
    <row r="415" spans="1:7" ht="18">
      <c r="A415" s="317"/>
      <c r="B415" s="317"/>
      <c r="C415" s="577"/>
      <c r="D415" s="577"/>
      <c r="E415" s="577"/>
      <c r="F415" s="317"/>
      <c r="G415" s="317"/>
    </row>
    <row r="416" spans="1:7" ht="18">
      <c r="A416" s="317"/>
      <c r="B416" s="317"/>
      <c r="C416" s="577"/>
      <c r="D416" s="577"/>
      <c r="E416" s="577"/>
      <c r="F416" s="317"/>
      <c r="G416" s="317"/>
    </row>
    <row r="417" spans="1:7" ht="18">
      <c r="A417" s="317"/>
      <c r="B417" s="317"/>
      <c r="C417" s="577"/>
      <c r="D417" s="577"/>
      <c r="E417" s="577"/>
      <c r="F417" s="317"/>
      <c r="G417" s="317"/>
    </row>
    <row r="418" spans="1:7" ht="18">
      <c r="A418" s="317"/>
      <c r="B418" s="317"/>
      <c r="C418" s="577"/>
      <c r="D418" s="577"/>
      <c r="E418" s="577"/>
      <c r="F418" s="317"/>
      <c r="G418" s="317"/>
    </row>
    <row r="419" spans="1:7" ht="18">
      <c r="A419" s="317"/>
      <c r="B419" s="317"/>
      <c r="C419" s="577"/>
      <c r="D419" s="577"/>
      <c r="E419" s="577"/>
      <c r="F419" s="317"/>
      <c r="G419" s="317"/>
    </row>
    <row r="420" spans="1:7" ht="18">
      <c r="A420" s="317"/>
      <c r="B420" s="317"/>
      <c r="C420" s="577"/>
      <c r="D420" s="577"/>
      <c r="E420" s="577"/>
      <c r="F420" s="317"/>
      <c r="G420" s="317"/>
    </row>
    <row r="421" spans="1:7" ht="18">
      <c r="A421" s="317"/>
      <c r="B421" s="317"/>
      <c r="C421" s="577"/>
      <c r="D421" s="577"/>
      <c r="E421" s="577"/>
      <c r="F421" s="317"/>
      <c r="G421" s="317"/>
    </row>
    <row r="422" spans="1:7" ht="18">
      <c r="A422" s="317"/>
      <c r="B422" s="317"/>
      <c r="C422" s="577"/>
      <c r="D422" s="577"/>
      <c r="E422" s="577"/>
      <c r="F422" s="317"/>
      <c r="G422" s="317"/>
    </row>
    <row r="423" spans="1:7" ht="18">
      <c r="A423" s="317"/>
      <c r="B423" s="317"/>
      <c r="C423" s="577"/>
      <c r="D423" s="577"/>
      <c r="E423" s="577"/>
      <c r="F423" s="317"/>
      <c r="G423" s="317"/>
    </row>
    <row r="424" spans="1:7" ht="18">
      <c r="A424" s="317"/>
      <c r="B424" s="317"/>
      <c r="C424" s="577"/>
      <c r="D424" s="577"/>
      <c r="E424" s="577"/>
      <c r="F424" s="317"/>
      <c r="G424" s="317"/>
    </row>
    <row r="425" spans="1:7" ht="18">
      <c r="A425" s="317"/>
      <c r="B425" s="317"/>
      <c r="C425" s="577"/>
      <c r="D425" s="577"/>
      <c r="E425" s="577"/>
      <c r="F425" s="317"/>
      <c r="G425" s="317"/>
    </row>
    <row r="426" spans="1:7" ht="18">
      <c r="A426" s="317"/>
      <c r="B426" s="317"/>
      <c r="C426" s="577"/>
      <c r="D426" s="577"/>
      <c r="E426" s="577"/>
      <c r="F426" s="317"/>
      <c r="G426" s="317"/>
    </row>
    <row r="427" spans="1:7" ht="18">
      <c r="A427" s="317"/>
      <c r="B427" s="317"/>
      <c r="C427" s="577"/>
      <c r="D427" s="577"/>
      <c r="E427" s="577"/>
      <c r="F427" s="317"/>
      <c r="G427" s="317"/>
    </row>
    <row r="428" spans="1:7" ht="18">
      <c r="A428" s="317"/>
      <c r="B428" s="317"/>
      <c r="C428" s="577"/>
      <c r="D428" s="577"/>
      <c r="E428" s="577"/>
      <c r="F428" s="317"/>
      <c r="G428" s="317"/>
    </row>
    <row r="429" spans="1:7" ht="18">
      <c r="A429" s="317"/>
      <c r="B429" s="317"/>
      <c r="C429" s="577"/>
      <c r="D429" s="577"/>
      <c r="E429" s="577"/>
      <c r="F429" s="317"/>
      <c r="G429" s="317"/>
    </row>
    <row r="430" spans="1:7" ht="18">
      <c r="A430" s="317"/>
      <c r="B430" s="317"/>
      <c r="C430" s="577"/>
      <c r="D430" s="577"/>
      <c r="E430" s="577"/>
      <c r="F430" s="317"/>
      <c r="G430" s="317"/>
    </row>
    <row r="431" spans="1:7" ht="18">
      <c r="A431" s="317"/>
      <c r="B431" s="317"/>
      <c r="C431" s="577"/>
      <c r="D431" s="577"/>
      <c r="E431" s="577"/>
      <c r="F431" s="317"/>
      <c r="G431" s="317"/>
    </row>
    <row r="432" spans="1:7" ht="18">
      <c r="A432" s="317"/>
      <c r="B432" s="317"/>
      <c r="C432" s="577"/>
      <c r="D432" s="577"/>
      <c r="E432" s="577"/>
      <c r="F432" s="317"/>
      <c r="G432" s="317"/>
    </row>
    <row r="433" spans="1:7" ht="18">
      <c r="A433" s="317"/>
      <c r="B433" s="317"/>
      <c r="C433" s="577"/>
      <c r="D433" s="577"/>
      <c r="E433" s="577"/>
      <c r="F433" s="317"/>
      <c r="G433" s="317"/>
    </row>
    <row r="434" spans="1:7" ht="18">
      <c r="A434" s="317"/>
      <c r="B434" s="317"/>
      <c r="C434" s="577"/>
      <c r="D434" s="577"/>
      <c r="E434" s="577"/>
      <c r="F434" s="317"/>
      <c r="G434" s="317"/>
    </row>
    <row r="435" spans="1:7" ht="18">
      <c r="A435" s="317"/>
      <c r="B435" s="317"/>
      <c r="C435" s="577"/>
      <c r="D435" s="577"/>
      <c r="E435" s="577"/>
      <c r="F435" s="317"/>
      <c r="G435" s="317"/>
    </row>
    <row r="436" spans="1:7" ht="18">
      <c r="A436" s="317"/>
      <c r="B436" s="317"/>
      <c r="C436" s="577"/>
      <c r="D436" s="577"/>
      <c r="E436" s="577"/>
      <c r="F436" s="317"/>
      <c r="G436" s="317"/>
    </row>
    <row r="437" spans="1:7" ht="18">
      <c r="A437" s="317"/>
      <c r="B437" s="317"/>
      <c r="C437" s="577"/>
      <c r="D437" s="577"/>
      <c r="E437" s="577"/>
      <c r="F437" s="317"/>
      <c r="G437" s="317"/>
    </row>
    <row r="438" spans="1:7" ht="18">
      <c r="A438" s="317"/>
      <c r="B438" s="317"/>
      <c r="C438" s="577"/>
      <c r="D438" s="577"/>
      <c r="E438" s="577"/>
      <c r="F438" s="317"/>
      <c r="G438" s="317"/>
    </row>
    <row r="439" spans="1:7" ht="18">
      <c r="A439" s="317"/>
      <c r="B439" s="317"/>
      <c r="C439" s="577"/>
      <c r="D439" s="577"/>
      <c r="E439" s="577"/>
      <c r="F439" s="317"/>
      <c r="G439" s="317"/>
    </row>
    <row r="440" spans="1:7" ht="18">
      <c r="A440" s="317"/>
      <c r="B440" s="317"/>
      <c r="C440" s="577"/>
      <c r="D440" s="577"/>
      <c r="E440" s="577"/>
      <c r="F440" s="317"/>
      <c r="G440" s="317"/>
    </row>
    <row r="441" spans="1:7" ht="18">
      <c r="A441" s="317"/>
      <c r="B441" s="317"/>
      <c r="C441" s="577"/>
      <c r="D441" s="577"/>
      <c r="E441" s="577"/>
      <c r="F441" s="317"/>
      <c r="G441" s="317"/>
    </row>
    <row r="442" spans="1:7" ht="18">
      <c r="A442" s="317"/>
      <c r="B442" s="317"/>
      <c r="C442" s="577"/>
      <c r="D442" s="577"/>
      <c r="E442" s="577"/>
      <c r="F442" s="317"/>
      <c r="G442" s="317"/>
    </row>
    <row r="443" spans="1:7" ht="18">
      <c r="A443" s="317"/>
      <c r="B443" s="317"/>
      <c r="C443" s="577"/>
      <c r="D443" s="577"/>
      <c r="E443" s="577"/>
      <c r="F443" s="317"/>
      <c r="G443" s="317"/>
    </row>
    <row r="444" spans="1:7" ht="18">
      <c r="A444" s="317"/>
      <c r="B444" s="317"/>
      <c r="C444" s="577"/>
      <c r="D444" s="577"/>
      <c r="E444" s="577"/>
      <c r="F444" s="317"/>
      <c r="G444" s="317"/>
    </row>
    <row r="445" spans="1:7" ht="18">
      <c r="A445" s="317"/>
      <c r="B445" s="317"/>
      <c r="C445" s="577"/>
      <c r="D445" s="577"/>
      <c r="E445" s="577"/>
      <c r="F445" s="317"/>
      <c r="G445" s="317"/>
    </row>
    <row r="446" spans="1:7" ht="18">
      <c r="A446" s="317"/>
      <c r="B446" s="317"/>
      <c r="C446" s="577"/>
      <c r="D446" s="577"/>
      <c r="E446" s="577"/>
      <c r="F446" s="317"/>
      <c r="G446" s="317"/>
    </row>
    <row r="447" spans="1:7" ht="18">
      <c r="A447" s="317"/>
      <c r="B447" s="317"/>
      <c r="C447" s="577"/>
      <c r="D447" s="577"/>
      <c r="E447" s="577"/>
      <c r="F447" s="317"/>
      <c r="G447" s="317"/>
    </row>
    <row r="448" spans="1:7" ht="18">
      <c r="A448" s="317"/>
      <c r="B448" s="317"/>
      <c r="C448" s="577"/>
      <c r="D448" s="577"/>
      <c r="E448" s="577"/>
      <c r="F448" s="317"/>
      <c r="G448" s="317"/>
    </row>
    <row r="449" spans="1:7" ht="18">
      <c r="A449" s="317"/>
      <c r="B449" s="317"/>
      <c r="C449" s="577"/>
      <c r="D449" s="577"/>
      <c r="E449" s="577"/>
      <c r="F449" s="317"/>
      <c r="G449" s="317"/>
    </row>
    <row r="450" spans="1:7" ht="18">
      <c r="A450" s="317"/>
      <c r="B450" s="317"/>
      <c r="C450" s="577"/>
      <c r="D450" s="577"/>
      <c r="E450" s="577"/>
      <c r="F450" s="317"/>
      <c r="G450" s="317"/>
    </row>
    <row r="451" spans="1:7" ht="18">
      <c r="A451" s="317"/>
      <c r="B451" s="317"/>
      <c r="C451" s="577"/>
      <c r="D451" s="577"/>
      <c r="E451" s="577"/>
      <c r="F451" s="317"/>
      <c r="G451" s="317"/>
    </row>
    <row r="452" spans="1:7" ht="18">
      <c r="A452" s="317"/>
      <c r="B452" s="317"/>
      <c r="C452" s="577"/>
      <c r="D452" s="577"/>
      <c r="E452" s="577"/>
      <c r="F452" s="317"/>
      <c r="G452" s="317"/>
    </row>
    <row r="453" spans="1:7" ht="18">
      <c r="A453" s="317"/>
      <c r="B453" s="317"/>
      <c r="C453" s="577"/>
      <c r="D453" s="577"/>
      <c r="E453" s="577"/>
      <c r="F453" s="317"/>
      <c r="G453" s="317"/>
    </row>
    <row r="454" spans="1:7" ht="18">
      <c r="A454" s="317"/>
      <c r="B454" s="317"/>
      <c r="C454" s="577"/>
      <c r="D454" s="577"/>
      <c r="E454" s="577"/>
      <c r="F454" s="317"/>
      <c r="G454" s="317"/>
    </row>
    <row r="455" spans="1:7" ht="18">
      <c r="A455" s="317"/>
      <c r="B455" s="317"/>
      <c r="C455" s="577"/>
      <c r="D455" s="577"/>
      <c r="E455" s="577"/>
      <c r="F455" s="317"/>
      <c r="G455" s="317"/>
    </row>
    <row r="456" spans="1:7" ht="18">
      <c r="A456" s="317"/>
      <c r="B456" s="317"/>
      <c r="C456" s="577"/>
      <c r="D456" s="577"/>
      <c r="E456" s="577"/>
      <c r="F456" s="317"/>
      <c r="G456" s="317"/>
    </row>
    <row r="457" spans="1:7" ht="18">
      <c r="A457" s="317"/>
      <c r="B457" s="317"/>
      <c r="C457" s="577"/>
      <c r="D457" s="577"/>
      <c r="E457" s="577"/>
      <c r="F457" s="317"/>
      <c r="G457" s="317"/>
    </row>
    <row r="458" spans="1:7" ht="18">
      <c r="A458" s="317"/>
      <c r="B458" s="317"/>
      <c r="C458" s="577"/>
      <c r="D458" s="577"/>
      <c r="E458" s="577"/>
      <c r="F458" s="317"/>
      <c r="G458" s="317"/>
    </row>
    <row r="459" spans="1:7" ht="18">
      <c r="A459" s="317"/>
      <c r="B459" s="317"/>
      <c r="C459" s="577"/>
      <c r="D459" s="577"/>
      <c r="E459" s="577"/>
      <c r="F459" s="317"/>
      <c r="G459" s="317"/>
    </row>
    <row r="460" spans="1:7" ht="18">
      <c r="A460" s="317"/>
      <c r="B460" s="317"/>
      <c r="C460" s="577"/>
      <c r="D460" s="577"/>
      <c r="E460" s="577"/>
      <c r="F460" s="317"/>
      <c r="G460" s="317"/>
    </row>
    <row r="461" spans="1:7" ht="18">
      <c r="A461" s="317"/>
      <c r="B461" s="317"/>
      <c r="C461" s="577"/>
      <c r="D461" s="577"/>
      <c r="E461" s="577"/>
      <c r="F461" s="317"/>
      <c r="G461" s="317"/>
    </row>
    <row r="462" spans="1:7" ht="18">
      <c r="A462" s="317"/>
      <c r="B462" s="317"/>
      <c r="C462" s="577"/>
      <c r="D462" s="577"/>
      <c r="E462" s="577"/>
      <c r="F462" s="317"/>
      <c r="G462" s="317"/>
    </row>
    <row r="463" spans="1:7" ht="18">
      <c r="A463" s="317"/>
      <c r="B463" s="317"/>
      <c r="C463" s="577"/>
      <c r="D463" s="577"/>
      <c r="E463" s="577"/>
      <c r="F463" s="317"/>
      <c r="G463" s="317"/>
    </row>
    <row r="464" spans="1:7" ht="18">
      <c r="A464" s="317"/>
      <c r="B464" s="317"/>
      <c r="C464" s="577"/>
      <c r="D464" s="577"/>
      <c r="E464" s="577"/>
      <c r="F464" s="317"/>
      <c r="G464" s="317"/>
    </row>
    <row r="465" spans="1:7" ht="18">
      <c r="A465" s="317"/>
      <c r="B465" s="317"/>
      <c r="C465" s="577"/>
      <c r="D465" s="577"/>
      <c r="E465" s="577"/>
      <c r="F465" s="317"/>
      <c r="G465" s="317"/>
    </row>
    <row r="466" spans="1:7" ht="18">
      <c r="A466" s="317"/>
      <c r="B466" s="317"/>
      <c r="C466" s="577"/>
      <c r="D466" s="577"/>
      <c r="E466" s="577"/>
      <c r="F466" s="317"/>
      <c r="G466" s="317"/>
    </row>
    <row r="467" spans="1:7" ht="18">
      <c r="A467" s="317"/>
      <c r="B467" s="317"/>
      <c r="C467" s="577"/>
      <c r="D467" s="577"/>
      <c r="E467" s="577"/>
      <c r="F467" s="317"/>
      <c r="G467" s="317"/>
    </row>
    <row r="468" spans="1:7" ht="18">
      <c r="A468" s="317"/>
      <c r="B468" s="317"/>
      <c r="C468" s="577"/>
      <c r="D468" s="577"/>
      <c r="E468" s="577"/>
      <c r="F468" s="317"/>
      <c r="G468" s="317"/>
    </row>
    <row r="469" spans="1:7" ht="18">
      <c r="A469" s="317"/>
      <c r="B469" s="317"/>
      <c r="C469" s="577"/>
      <c r="D469" s="577"/>
      <c r="E469" s="577"/>
      <c r="F469" s="317"/>
      <c r="G469" s="317"/>
    </row>
    <row r="470" spans="1:7" ht="18">
      <c r="A470" s="317"/>
      <c r="B470" s="317"/>
      <c r="C470" s="577"/>
      <c r="D470" s="577"/>
      <c r="E470" s="577"/>
      <c r="F470" s="317"/>
      <c r="G470" s="317"/>
    </row>
    <row r="471" spans="1:7" ht="18">
      <c r="A471" s="317"/>
      <c r="B471" s="317"/>
      <c r="C471" s="577"/>
      <c r="D471" s="577"/>
      <c r="E471" s="577"/>
      <c r="F471" s="317"/>
      <c r="G471" s="317"/>
    </row>
    <row r="472" spans="1:7" ht="18">
      <c r="A472" s="317"/>
      <c r="B472" s="317"/>
      <c r="C472" s="577"/>
      <c r="D472" s="577"/>
      <c r="E472" s="577"/>
      <c r="F472" s="317"/>
      <c r="G472" s="317"/>
    </row>
    <row r="473" spans="1:7" ht="18">
      <c r="A473" s="317"/>
      <c r="B473" s="317"/>
      <c r="C473" s="577"/>
      <c r="D473" s="577"/>
      <c r="E473" s="577"/>
      <c r="F473" s="317"/>
      <c r="G473" s="317"/>
    </row>
    <row r="474" spans="1:7" ht="18">
      <c r="A474" s="317"/>
      <c r="B474" s="317"/>
      <c r="C474" s="577"/>
      <c r="D474" s="577"/>
      <c r="E474" s="577"/>
      <c r="F474" s="317"/>
      <c r="G474" s="317"/>
    </row>
    <row r="475" spans="1:7" ht="18">
      <c r="A475" s="317"/>
      <c r="B475" s="317"/>
      <c r="C475" s="577"/>
      <c r="D475" s="577"/>
      <c r="E475" s="577"/>
      <c r="F475" s="317"/>
      <c r="G475" s="317"/>
    </row>
    <row r="476" spans="1:7" ht="18">
      <c r="A476" s="317"/>
      <c r="B476" s="317"/>
      <c r="C476" s="577"/>
      <c r="D476" s="577"/>
      <c r="E476" s="577"/>
      <c r="F476" s="317"/>
      <c r="G476" s="317"/>
    </row>
    <row r="477" spans="1:7" ht="18">
      <c r="A477" s="317"/>
      <c r="B477" s="317"/>
      <c r="C477" s="577"/>
      <c r="D477" s="577"/>
      <c r="E477" s="577"/>
      <c r="F477" s="317"/>
      <c r="G477" s="317"/>
    </row>
    <row r="478" spans="1:7" ht="18">
      <c r="A478" s="317"/>
      <c r="B478" s="317"/>
      <c r="C478" s="577"/>
      <c r="D478" s="577"/>
      <c r="E478" s="577"/>
      <c r="F478" s="317"/>
      <c r="G478" s="317"/>
    </row>
    <row r="479" spans="1:7" ht="18">
      <c r="A479" s="317"/>
      <c r="B479" s="317"/>
      <c r="C479" s="577"/>
      <c r="D479" s="577"/>
      <c r="E479" s="577"/>
      <c r="F479" s="317"/>
      <c r="G479" s="317"/>
    </row>
    <row r="480" spans="1:7" ht="18">
      <c r="A480" s="317"/>
      <c r="B480" s="317"/>
      <c r="C480" s="577"/>
      <c r="D480" s="577"/>
      <c r="E480" s="577"/>
      <c r="F480" s="317"/>
      <c r="G480" s="317"/>
    </row>
    <row r="481" spans="1:7" ht="18">
      <c r="A481" s="317"/>
      <c r="B481" s="317"/>
      <c r="C481" s="577"/>
      <c r="D481" s="577"/>
      <c r="E481" s="577"/>
      <c r="F481" s="317"/>
      <c r="G481" s="317"/>
    </row>
    <row r="482" spans="1:7" ht="18">
      <c r="A482" s="317"/>
      <c r="B482" s="317"/>
      <c r="C482" s="577"/>
      <c r="D482" s="577"/>
      <c r="E482" s="577"/>
      <c r="F482" s="317"/>
      <c r="G482" s="317"/>
    </row>
    <row r="483" spans="1:7" ht="18">
      <c r="A483" s="317"/>
      <c r="B483" s="317"/>
      <c r="C483" s="577"/>
      <c r="D483" s="577"/>
      <c r="E483" s="577"/>
      <c r="F483" s="317"/>
      <c r="G483" s="317"/>
    </row>
    <row r="484" spans="1:7" ht="18">
      <c r="A484" s="317"/>
      <c r="B484" s="317"/>
      <c r="C484" s="577"/>
      <c r="D484" s="577"/>
      <c r="E484" s="577"/>
      <c r="F484" s="317"/>
      <c r="G484" s="317"/>
    </row>
    <row r="485" spans="1:7" ht="18">
      <c r="A485" s="317"/>
      <c r="B485" s="317"/>
      <c r="C485" s="577"/>
      <c r="D485" s="577"/>
      <c r="E485" s="577"/>
      <c r="F485" s="317"/>
      <c r="G485" s="317"/>
    </row>
    <row r="486" spans="1:7" ht="18">
      <c r="A486" s="317"/>
      <c r="B486" s="317"/>
      <c r="C486" s="577"/>
      <c r="D486" s="577"/>
      <c r="E486" s="577"/>
      <c r="F486" s="317"/>
      <c r="G486" s="317"/>
    </row>
    <row r="487" spans="1:7" ht="18">
      <c r="A487" s="317"/>
      <c r="B487" s="317"/>
      <c r="C487" s="577"/>
      <c r="D487" s="577"/>
      <c r="E487" s="577"/>
      <c r="F487" s="317"/>
      <c r="G487" s="317"/>
    </row>
    <row r="488" spans="1:7" ht="18">
      <c r="A488" s="317"/>
      <c r="B488" s="317"/>
      <c r="C488" s="577"/>
      <c r="D488" s="577"/>
      <c r="E488" s="577"/>
      <c r="F488" s="317"/>
      <c r="G488" s="317"/>
    </row>
    <row r="489" spans="1:7" ht="18">
      <c r="A489" s="317"/>
      <c r="B489" s="317"/>
      <c r="C489" s="577"/>
      <c r="D489" s="577"/>
      <c r="E489" s="577"/>
      <c r="F489" s="317"/>
      <c r="G489" s="317"/>
    </row>
    <row r="490" spans="1:7" ht="18">
      <c r="A490" s="317"/>
      <c r="B490" s="317"/>
      <c r="C490" s="577"/>
      <c r="D490" s="577"/>
      <c r="E490" s="577"/>
      <c r="F490" s="317"/>
      <c r="G490" s="317"/>
    </row>
    <row r="491" spans="1:7" ht="18">
      <c r="A491" s="317"/>
      <c r="B491" s="317"/>
      <c r="C491" s="577"/>
      <c r="D491" s="577"/>
      <c r="E491" s="577"/>
      <c r="F491" s="317"/>
      <c r="G491" s="317"/>
    </row>
    <row r="492" spans="1:7" ht="18">
      <c r="A492" s="317"/>
      <c r="B492" s="317"/>
      <c r="C492" s="577"/>
      <c r="D492" s="577"/>
      <c r="E492" s="577"/>
      <c r="F492" s="317"/>
      <c r="G492" s="317"/>
    </row>
    <row r="493" spans="1:7" ht="18">
      <c r="A493" s="317"/>
      <c r="B493" s="317"/>
      <c r="C493" s="577"/>
      <c r="D493" s="577"/>
      <c r="E493" s="577"/>
      <c r="F493" s="317"/>
      <c r="G493" s="317"/>
    </row>
    <row r="494" spans="1:7" ht="18">
      <c r="A494" s="317"/>
      <c r="B494" s="317"/>
      <c r="C494" s="577"/>
      <c r="D494" s="577"/>
      <c r="E494" s="577"/>
      <c r="F494" s="317"/>
      <c r="G494" s="317"/>
    </row>
    <row r="495" spans="1:7" ht="18">
      <c r="A495" s="317"/>
      <c r="B495" s="317"/>
      <c r="C495" s="577"/>
      <c r="D495" s="577"/>
      <c r="E495" s="577"/>
      <c r="F495" s="317"/>
      <c r="G495" s="317"/>
    </row>
    <row r="496" spans="1:7" ht="18">
      <c r="A496" s="317"/>
      <c r="B496" s="317"/>
      <c r="C496" s="577"/>
      <c r="D496" s="577"/>
      <c r="E496" s="577"/>
      <c r="F496" s="317"/>
      <c r="G496" s="317"/>
    </row>
    <row r="497" spans="1:7" ht="18">
      <c r="A497" s="317"/>
      <c r="B497" s="317"/>
      <c r="C497" s="577"/>
      <c r="D497" s="577"/>
      <c r="E497" s="577"/>
      <c r="F497" s="317"/>
      <c r="G497" s="317"/>
    </row>
    <row r="498" spans="1:7" ht="18">
      <c r="A498" s="317"/>
      <c r="B498" s="317"/>
      <c r="C498" s="577"/>
      <c r="D498" s="577"/>
      <c r="E498" s="577"/>
      <c r="F498" s="317"/>
      <c r="G498" s="317"/>
    </row>
    <row r="499" spans="1:7" ht="18">
      <c r="A499" s="317"/>
      <c r="B499" s="317"/>
      <c r="C499" s="577"/>
      <c r="D499" s="577"/>
      <c r="E499" s="577"/>
      <c r="F499" s="317"/>
      <c r="G499" s="317"/>
    </row>
    <row r="500" spans="1:7" ht="18">
      <c r="A500" s="317"/>
      <c r="B500" s="317"/>
      <c r="C500" s="577"/>
      <c r="D500" s="577"/>
      <c r="E500" s="577"/>
      <c r="F500" s="317"/>
      <c r="G500" s="317"/>
    </row>
    <row r="501" spans="1:7" ht="18">
      <c r="A501" s="317"/>
      <c r="B501" s="317"/>
      <c r="C501" s="577"/>
      <c r="D501" s="577"/>
      <c r="E501" s="577"/>
      <c r="F501" s="317"/>
      <c r="G501" s="317"/>
    </row>
    <row r="502" spans="1:7" ht="18">
      <c r="A502" s="317"/>
      <c r="B502" s="317"/>
      <c r="C502" s="577"/>
      <c r="D502" s="577"/>
      <c r="E502" s="577"/>
      <c r="F502" s="317"/>
      <c r="G502" s="317"/>
    </row>
    <row r="503" spans="1:7" ht="18">
      <c r="A503" s="317"/>
      <c r="B503" s="317"/>
      <c r="C503" s="577"/>
      <c r="D503" s="577"/>
      <c r="E503" s="577"/>
      <c r="F503" s="317"/>
      <c r="G503" s="317"/>
    </row>
    <row r="504" spans="1:7" ht="18">
      <c r="A504" s="317"/>
      <c r="B504" s="317"/>
      <c r="C504" s="577"/>
      <c r="D504" s="577"/>
      <c r="E504" s="577"/>
      <c r="F504" s="317"/>
      <c r="G504" s="317"/>
    </row>
    <row r="505" spans="1:7" ht="18">
      <c r="A505" s="317"/>
      <c r="B505" s="317"/>
      <c r="C505" s="577"/>
      <c r="D505" s="577"/>
      <c r="E505" s="577"/>
      <c r="F505" s="317"/>
      <c r="G505" s="317"/>
    </row>
    <row r="506" spans="1:7" ht="18">
      <c r="A506" s="317"/>
      <c r="B506" s="317"/>
      <c r="C506" s="577"/>
      <c r="D506" s="577"/>
      <c r="E506" s="577"/>
      <c r="F506" s="317"/>
      <c r="G506" s="317"/>
    </row>
    <row r="507" spans="1:7" ht="18">
      <c r="A507" s="317"/>
      <c r="B507" s="317"/>
      <c r="C507" s="577"/>
      <c r="D507" s="577"/>
      <c r="E507" s="577"/>
      <c r="F507" s="317"/>
      <c r="G507" s="317"/>
    </row>
    <row r="508" spans="1:7" ht="18">
      <c r="A508" s="317"/>
      <c r="B508" s="317"/>
      <c r="C508" s="577"/>
      <c r="D508" s="577"/>
      <c r="E508" s="577"/>
      <c r="F508" s="317"/>
      <c r="G508" s="317"/>
    </row>
    <row r="509" spans="1:7" ht="18">
      <c r="A509" s="317"/>
      <c r="B509" s="317"/>
      <c r="C509" s="577"/>
      <c r="D509" s="577"/>
      <c r="E509" s="577"/>
      <c r="F509" s="317"/>
      <c r="G509" s="317"/>
    </row>
    <row r="510" spans="1:7" ht="18">
      <c r="A510" s="317"/>
      <c r="B510" s="317"/>
      <c r="C510" s="577"/>
      <c r="D510" s="577"/>
      <c r="E510" s="577"/>
      <c r="F510" s="317"/>
      <c r="G510" s="317"/>
    </row>
    <row r="511" spans="1:7" ht="18">
      <c r="A511" s="317"/>
      <c r="B511" s="317"/>
      <c r="C511" s="577"/>
      <c r="D511" s="577"/>
      <c r="E511" s="577"/>
      <c r="F511" s="317"/>
      <c r="G511" s="317"/>
    </row>
    <row r="512" spans="1:7" ht="18">
      <c r="A512" s="317"/>
      <c r="B512" s="317"/>
      <c r="C512" s="577"/>
      <c r="D512" s="577"/>
      <c r="E512" s="577"/>
      <c r="F512" s="317"/>
      <c r="G512" s="317"/>
    </row>
    <row r="513" spans="1:7" ht="18">
      <c r="A513" s="317"/>
      <c r="B513" s="317"/>
      <c r="C513" s="577"/>
      <c r="D513" s="577"/>
      <c r="E513" s="577"/>
      <c r="F513" s="317"/>
      <c r="G513" s="317"/>
    </row>
    <row r="514" spans="1:7" ht="18">
      <c r="A514" s="317"/>
      <c r="B514" s="317"/>
      <c r="C514" s="577"/>
      <c r="D514" s="577"/>
      <c r="E514" s="577"/>
      <c r="F514" s="317"/>
      <c r="G514" s="317"/>
    </row>
    <row r="515" spans="1:7" ht="18">
      <c r="A515" s="317"/>
      <c r="B515" s="317"/>
      <c r="C515" s="577"/>
      <c r="D515" s="577"/>
      <c r="E515" s="577"/>
      <c r="F515" s="317"/>
      <c r="G515" s="317"/>
    </row>
    <row r="516" spans="1:7" ht="18">
      <c r="A516" s="317"/>
      <c r="B516" s="317"/>
      <c r="C516" s="577"/>
      <c r="D516" s="577"/>
      <c r="E516" s="577"/>
      <c r="F516" s="317"/>
      <c r="G516" s="317"/>
    </row>
    <row r="517" spans="1:7" ht="18">
      <c r="A517" s="317"/>
      <c r="B517" s="317"/>
      <c r="C517" s="577"/>
      <c r="D517" s="577"/>
      <c r="E517" s="577"/>
      <c r="F517" s="317"/>
      <c r="G517" s="317"/>
    </row>
    <row r="518" spans="1:7" ht="18">
      <c r="A518" s="317"/>
      <c r="B518" s="317"/>
      <c r="C518" s="577"/>
      <c r="D518" s="577"/>
      <c r="E518" s="577"/>
      <c r="F518" s="317"/>
      <c r="G518" s="317"/>
    </row>
    <row r="519" spans="1:7" ht="18">
      <c r="A519" s="317"/>
      <c r="B519" s="317"/>
      <c r="C519" s="577"/>
      <c r="D519" s="577"/>
      <c r="E519" s="577"/>
      <c r="F519" s="317"/>
      <c r="G519" s="317"/>
    </row>
    <row r="520" spans="1:7" ht="18">
      <c r="A520" s="317"/>
      <c r="B520" s="317"/>
      <c r="C520" s="577"/>
      <c r="D520" s="577"/>
      <c r="E520" s="577"/>
      <c r="F520" s="317"/>
      <c r="G520" s="317"/>
    </row>
    <row r="521" spans="1:7" ht="18">
      <c r="A521" s="317"/>
      <c r="B521" s="317"/>
      <c r="C521" s="577"/>
      <c r="D521" s="577"/>
      <c r="E521" s="577"/>
      <c r="F521" s="317"/>
      <c r="G521" s="317"/>
    </row>
    <row r="522" spans="1:7" ht="18">
      <c r="A522" s="317"/>
      <c r="B522" s="317"/>
      <c r="C522" s="577"/>
      <c r="D522" s="577"/>
      <c r="E522" s="577"/>
      <c r="F522" s="317"/>
      <c r="G522" s="317"/>
    </row>
    <row r="523" spans="1:7" ht="18">
      <c r="A523" s="317"/>
      <c r="B523" s="317"/>
      <c r="C523" s="577"/>
      <c r="D523" s="577"/>
      <c r="E523" s="577"/>
      <c r="F523" s="317"/>
      <c r="G523" s="317"/>
    </row>
    <row r="524" spans="1:7" ht="18">
      <c r="A524" s="317"/>
      <c r="B524" s="317"/>
      <c r="C524" s="577"/>
      <c r="D524" s="577"/>
      <c r="E524" s="577"/>
      <c r="F524" s="317"/>
      <c r="G524" s="317"/>
    </row>
    <row r="525" spans="1:7" ht="18">
      <c r="A525" s="317"/>
      <c r="B525" s="317"/>
      <c r="C525" s="577"/>
      <c r="D525" s="577"/>
      <c r="E525" s="577"/>
      <c r="F525" s="317"/>
      <c r="G525" s="317"/>
    </row>
    <row r="526" spans="1:7" ht="18">
      <c r="A526" s="317"/>
      <c r="B526" s="317"/>
      <c r="C526" s="577"/>
      <c r="D526" s="577"/>
      <c r="E526" s="577"/>
      <c r="F526" s="317"/>
      <c r="G526" s="317"/>
    </row>
    <row r="527" spans="1:7" ht="18">
      <c r="A527" s="317"/>
      <c r="B527" s="317"/>
      <c r="C527" s="577"/>
      <c r="D527" s="577"/>
      <c r="E527" s="577"/>
      <c r="F527" s="317"/>
      <c r="G527" s="317"/>
    </row>
    <row r="528" spans="1:7" ht="18">
      <c r="A528" s="317"/>
      <c r="B528" s="317"/>
      <c r="C528" s="577"/>
      <c r="D528" s="577"/>
      <c r="E528" s="577"/>
      <c r="F528" s="317"/>
      <c r="G528" s="317"/>
    </row>
    <row r="529" spans="1:7" ht="18">
      <c r="A529" s="317"/>
      <c r="B529" s="317"/>
      <c r="C529" s="577"/>
      <c r="D529" s="577"/>
      <c r="E529" s="577"/>
      <c r="F529" s="317"/>
      <c r="G529" s="317"/>
    </row>
    <row r="530" spans="1:7" ht="18">
      <c r="A530" s="317"/>
      <c r="B530" s="317"/>
      <c r="C530" s="577"/>
      <c r="D530" s="577"/>
      <c r="E530" s="577"/>
      <c r="F530" s="317"/>
      <c r="G530" s="317"/>
    </row>
    <row r="531" spans="1:7" ht="18">
      <c r="A531" s="317"/>
      <c r="B531" s="317"/>
      <c r="C531" s="577"/>
      <c r="D531" s="577"/>
      <c r="E531" s="577"/>
      <c r="F531" s="317"/>
      <c r="G531" s="317"/>
    </row>
    <row r="532" spans="1:7" ht="18">
      <c r="A532" s="317"/>
      <c r="B532" s="317"/>
      <c r="C532" s="577"/>
      <c r="D532" s="577"/>
      <c r="E532" s="577"/>
      <c r="F532" s="317"/>
      <c r="G532" s="317"/>
    </row>
    <row r="533" spans="1:7" ht="18">
      <c r="A533" s="317"/>
      <c r="B533" s="317"/>
      <c r="C533" s="577"/>
      <c r="D533" s="577"/>
      <c r="E533" s="577"/>
      <c r="F533" s="317"/>
      <c r="G533" s="317"/>
    </row>
    <row r="534" spans="1:7" ht="18">
      <c r="A534" s="317"/>
      <c r="B534" s="317"/>
      <c r="C534" s="577"/>
      <c r="D534" s="577"/>
      <c r="E534" s="577"/>
      <c r="F534" s="317"/>
      <c r="G534" s="317"/>
    </row>
    <row r="535" spans="1:7" ht="18">
      <c r="A535" s="317"/>
      <c r="B535" s="317"/>
      <c r="C535" s="577"/>
      <c r="D535" s="577"/>
      <c r="E535" s="577"/>
      <c r="F535" s="317"/>
      <c r="G535" s="317"/>
    </row>
    <row r="536" spans="1:7" ht="18">
      <c r="A536" s="317"/>
      <c r="B536" s="317"/>
      <c r="C536" s="577"/>
      <c r="D536" s="577"/>
      <c r="E536" s="577"/>
      <c r="F536" s="317"/>
      <c r="G536" s="317"/>
    </row>
    <row r="537" spans="1:7" ht="18">
      <c r="A537" s="317"/>
      <c r="B537" s="317"/>
      <c r="C537" s="577"/>
      <c r="D537" s="577"/>
      <c r="E537" s="577"/>
      <c r="F537" s="317"/>
      <c r="G537" s="317"/>
    </row>
    <row r="538" spans="1:7" ht="18">
      <c r="A538" s="317"/>
      <c r="B538" s="317"/>
      <c r="C538" s="577"/>
      <c r="D538" s="577"/>
      <c r="E538" s="577"/>
      <c r="F538" s="317"/>
      <c r="G538" s="317"/>
    </row>
    <row r="539" spans="1:7" ht="18">
      <c r="A539" s="317"/>
      <c r="B539" s="317"/>
      <c r="C539" s="577"/>
      <c r="D539" s="577"/>
      <c r="E539" s="577"/>
      <c r="F539" s="317"/>
      <c r="G539" s="317"/>
    </row>
    <row r="540" spans="1:7" ht="18">
      <c r="A540" s="317"/>
      <c r="B540" s="317"/>
      <c r="C540" s="577"/>
      <c r="D540" s="577"/>
      <c r="E540" s="577"/>
      <c r="F540" s="317"/>
      <c r="G540" s="317"/>
    </row>
    <row r="541" spans="1:7" ht="18">
      <c r="A541" s="317"/>
      <c r="B541" s="317"/>
      <c r="C541" s="577"/>
      <c r="D541" s="577"/>
      <c r="E541" s="577"/>
      <c r="F541" s="317"/>
      <c r="G541" s="317"/>
    </row>
    <row r="542" spans="1:7" ht="18">
      <c r="A542" s="317"/>
      <c r="B542" s="317"/>
      <c r="C542" s="577"/>
      <c r="D542" s="577"/>
      <c r="E542" s="577"/>
      <c r="F542" s="317"/>
      <c r="G542" s="317"/>
    </row>
    <row r="543" spans="1:7" ht="18">
      <c r="A543" s="317"/>
      <c r="B543" s="317"/>
      <c r="C543" s="577"/>
      <c r="D543" s="577"/>
      <c r="E543" s="577"/>
      <c r="F543" s="317"/>
      <c r="G543" s="317"/>
    </row>
    <row r="544" spans="1:7" ht="18">
      <c r="A544" s="317"/>
      <c r="B544" s="317"/>
      <c r="C544" s="577"/>
      <c r="D544" s="577"/>
      <c r="E544" s="577"/>
      <c r="F544" s="317"/>
      <c r="G544" s="317"/>
    </row>
    <row r="545" spans="1:7" ht="18">
      <c r="A545" s="317"/>
      <c r="B545" s="317"/>
      <c r="C545" s="577"/>
      <c r="D545" s="577"/>
      <c r="E545" s="577"/>
      <c r="F545" s="317"/>
      <c r="G545" s="317"/>
    </row>
    <row r="546" spans="1:7" ht="18">
      <c r="A546" s="317"/>
      <c r="B546" s="317"/>
      <c r="C546" s="577"/>
      <c r="D546" s="577"/>
      <c r="E546" s="577"/>
      <c r="F546" s="317"/>
      <c r="G546" s="317"/>
    </row>
    <row r="547" spans="1:7" ht="18">
      <c r="A547" s="317"/>
      <c r="B547" s="317"/>
      <c r="C547" s="577"/>
      <c r="D547" s="577"/>
      <c r="E547" s="577"/>
      <c r="F547" s="317"/>
      <c r="G547" s="317"/>
    </row>
    <row r="548" spans="1:7" ht="18">
      <c r="A548" s="317"/>
      <c r="B548" s="317"/>
      <c r="C548" s="577"/>
      <c r="D548" s="577"/>
      <c r="E548" s="577"/>
      <c r="F548" s="317"/>
      <c r="G548" s="317"/>
    </row>
    <row r="549" spans="1:7" ht="18">
      <c r="A549" s="317"/>
      <c r="B549" s="317"/>
      <c r="C549" s="577"/>
      <c r="D549" s="577"/>
      <c r="E549" s="577"/>
      <c r="F549" s="317"/>
      <c r="G549" s="317"/>
    </row>
    <row r="550" spans="1:7" ht="18">
      <c r="A550" s="317"/>
      <c r="B550" s="317"/>
      <c r="C550" s="577"/>
      <c r="D550" s="577"/>
      <c r="E550" s="577"/>
      <c r="F550" s="317"/>
      <c r="G550" s="317"/>
    </row>
    <row r="551" spans="1:7" ht="18">
      <c r="A551" s="317"/>
      <c r="B551" s="317"/>
      <c r="C551" s="577"/>
      <c r="D551" s="577"/>
      <c r="E551" s="577"/>
      <c r="F551" s="317"/>
      <c r="G551" s="317"/>
    </row>
    <row r="552" spans="1:7" ht="18">
      <c r="A552" s="317"/>
      <c r="B552" s="317"/>
      <c r="C552" s="577"/>
      <c r="D552" s="577"/>
      <c r="E552" s="577"/>
      <c r="F552" s="317"/>
      <c r="G552" s="317"/>
    </row>
    <row r="553" spans="1:7" ht="18">
      <c r="A553" s="317"/>
      <c r="B553" s="317"/>
      <c r="C553" s="577"/>
      <c r="D553" s="577"/>
      <c r="E553" s="577"/>
      <c r="F553" s="317"/>
      <c r="G553" s="317"/>
    </row>
    <row r="554" spans="1:7" ht="18">
      <c r="A554" s="317"/>
      <c r="B554" s="317"/>
      <c r="C554" s="577"/>
      <c r="D554" s="577"/>
      <c r="E554" s="577"/>
      <c r="F554" s="317"/>
      <c r="G554" s="317"/>
    </row>
    <row r="555" spans="1:7" ht="18">
      <c r="A555" s="317"/>
      <c r="B555" s="317"/>
      <c r="C555" s="577"/>
      <c r="D555" s="577"/>
      <c r="E555" s="577"/>
      <c r="F555" s="317"/>
      <c r="G555" s="317"/>
    </row>
    <row r="556" spans="1:7" ht="18">
      <c r="A556" s="317"/>
      <c r="B556" s="317"/>
      <c r="C556" s="577"/>
      <c r="D556" s="577"/>
      <c r="E556" s="577"/>
      <c r="F556" s="317"/>
      <c r="G556" s="317"/>
    </row>
    <row r="557" spans="1:7" ht="18">
      <c r="A557" s="317"/>
      <c r="B557" s="317"/>
      <c r="C557" s="577"/>
      <c r="D557" s="577"/>
      <c r="E557" s="577"/>
      <c r="F557" s="317"/>
      <c r="G557" s="317"/>
    </row>
    <row r="558" spans="1:7" ht="18">
      <c r="A558" s="317"/>
      <c r="B558" s="317"/>
      <c r="C558" s="577"/>
      <c r="D558" s="577"/>
      <c r="E558" s="577"/>
      <c r="F558" s="317"/>
      <c r="G558" s="317"/>
    </row>
    <row r="559" spans="1:7" ht="18">
      <c r="A559" s="317"/>
      <c r="B559" s="317"/>
      <c r="C559" s="577"/>
      <c r="D559" s="577"/>
      <c r="E559" s="577"/>
      <c r="F559" s="317"/>
      <c r="G559" s="317"/>
    </row>
    <row r="560" spans="1:7" ht="18">
      <c r="A560" s="317"/>
      <c r="B560" s="317"/>
      <c r="C560" s="577"/>
      <c r="D560" s="577"/>
      <c r="E560" s="577"/>
      <c r="F560" s="317"/>
      <c r="G560" s="317"/>
    </row>
    <row r="561" spans="1:7" ht="18">
      <c r="A561" s="317"/>
      <c r="B561" s="317"/>
      <c r="C561" s="577"/>
      <c r="D561" s="577"/>
      <c r="E561" s="577"/>
      <c r="F561" s="317"/>
      <c r="G561" s="317"/>
    </row>
    <row r="562" spans="1:7" ht="18">
      <c r="A562" s="317"/>
      <c r="B562" s="317"/>
      <c r="C562" s="577"/>
      <c r="D562" s="577"/>
      <c r="E562" s="577"/>
      <c r="F562" s="317"/>
      <c r="G562" s="317"/>
    </row>
    <row r="563" spans="1:7" ht="18">
      <c r="A563" s="317"/>
      <c r="B563" s="317"/>
      <c r="C563" s="577"/>
      <c r="D563" s="577"/>
      <c r="E563" s="577"/>
      <c r="F563" s="317"/>
      <c r="G563" s="317"/>
    </row>
    <row r="564" spans="1:7" ht="18">
      <c r="A564" s="317"/>
      <c r="B564" s="317"/>
      <c r="C564" s="577"/>
      <c r="D564" s="577"/>
      <c r="E564" s="577"/>
      <c r="F564" s="317"/>
      <c r="G564" s="317"/>
    </row>
    <row r="565" spans="1:7" ht="18">
      <c r="A565" s="317"/>
      <c r="B565" s="317"/>
      <c r="C565" s="577"/>
      <c r="D565" s="577"/>
      <c r="E565" s="577"/>
      <c r="F565" s="317"/>
      <c r="G565" s="317"/>
    </row>
    <row r="566" spans="1:7" ht="18">
      <c r="A566" s="317"/>
      <c r="B566" s="317"/>
      <c r="C566" s="577"/>
      <c r="D566" s="577"/>
      <c r="E566" s="577"/>
      <c r="F566" s="317"/>
      <c r="G566" s="317"/>
    </row>
    <row r="567" spans="1:7" ht="18">
      <c r="A567" s="317"/>
      <c r="B567" s="317"/>
      <c r="C567" s="577"/>
      <c r="D567" s="577"/>
      <c r="E567" s="577"/>
      <c r="F567" s="317"/>
      <c r="G567" s="317"/>
    </row>
    <row r="568" spans="1:7" ht="18">
      <c r="A568" s="317"/>
      <c r="B568" s="317"/>
      <c r="C568" s="577"/>
      <c r="D568" s="577"/>
      <c r="E568" s="577"/>
      <c r="F568" s="317"/>
      <c r="G568" s="317"/>
    </row>
    <row r="569" spans="1:7" ht="18">
      <c r="A569" s="317"/>
      <c r="B569" s="317"/>
      <c r="C569" s="577"/>
      <c r="D569" s="577"/>
      <c r="E569" s="577"/>
      <c r="F569" s="317"/>
      <c r="G569" s="317"/>
    </row>
    <row r="570" spans="1:7" ht="18">
      <c r="A570" s="317"/>
      <c r="B570" s="317"/>
      <c r="C570" s="577"/>
      <c r="D570" s="577"/>
      <c r="E570" s="577"/>
      <c r="F570" s="317"/>
      <c r="G570" s="317"/>
    </row>
    <row r="571" spans="1:7" ht="18">
      <c r="A571" s="317"/>
      <c r="B571" s="317"/>
      <c r="C571" s="577"/>
      <c r="D571" s="577"/>
      <c r="E571" s="577"/>
      <c r="F571" s="317"/>
      <c r="G571" s="317"/>
    </row>
    <row r="572" spans="1:7" ht="18">
      <c r="A572" s="317"/>
      <c r="B572" s="317"/>
      <c r="C572" s="577"/>
      <c r="D572" s="577"/>
      <c r="E572" s="577"/>
      <c r="F572" s="317"/>
      <c r="G572" s="317"/>
    </row>
    <row r="573" spans="1:7" ht="18">
      <c r="A573" s="317"/>
      <c r="B573" s="317"/>
      <c r="C573" s="577"/>
      <c r="D573" s="577"/>
      <c r="E573" s="577"/>
      <c r="F573" s="317"/>
      <c r="G573" s="317"/>
    </row>
    <row r="574" spans="1:7" ht="18">
      <c r="A574" s="317"/>
      <c r="B574" s="317"/>
      <c r="C574" s="577"/>
      <c r="D574" s="577"/>
      <c r="E574" s="577"/>
      <c r="F574" s="317"/>
      <c r="G574" s="317"/>
    </row>
    <row r="575" spans="1:7" ht="18">
      <c r="A575" s="317"/>
      <c r="B575" s="317"/>
      <c r="C575" s="577"/>
      <c r="D575" s="577"/>
      <c r="E575" s="577"/>
      <c r="F575" s="317"/>
      <c r="G575" s="317"/>
    </row>
    <row r="576" spans="1:7" ht="18">
      <c r="A576" s="317"/>
      <c r="B576" s="317"/>
      <c r="C576" s="577"/>
      <c r="D576" s="577"/>
      <c r="E576" s="577"/>
      <c r="F576" s="317"/>
      <c r="G576" s="317"/>
    </row>
    <row r="577" spans="1:7" ht="18">
      <c r="A577" s="317"/>
      <c r="B577" s="317"/>
      <c r="C577" s="577"/>
      <c r="D577" s="577"/>
      <c r="E577" s="577"/>
      <c r="F577" s="317"/>
      <c r="G577" s="317"/>
    </row>
    <row r="578" spans="1:7" ht="18">
      <c r="A578" s="317"/>
      <c r="B578" s="317"/>
      <c r="C578" s="577"/>
      <c r="D578" s="577"/>
      <c r="E578" s="577"/>
      <c r="F578" s="317"/>
      <c r="G578" s="317"/>
    </row>
    <row r="579" spans="1:7" ht="18">
      <c r="A579" s="317"/>
      <c r="B579" s="317"/>
      <c r="C579" s="577"/>
      <c r="D579" s="577"/>
      <c r="E579" s="577"/>
      <c r="F579" s="317"/>
      <c r="G579" s="317"/>
    </row>
    <row r="580" spans="1:7" ht="18">
      <c r="A580" s="317"/>
      <c r="B580" s="317"/>
      <c r="C580" s="577"/>
      <c r="D580" s="577"/>
      <c r="E580" s="577"/>
      <c r="F580" s="317"/>
      <c r="G580" s="317"/>
    </row>
    <row r="581" spans="1:7" ht="18">
      <c r="A581" s="317"/>
      <c r="B581" s="317"/>
      <c r="C581" s="577"/>
      <c r="D581" s="577"/>
      <c r="E581" s="577"/>
      <c r="F581" s="317"/>
      <c r="G581" s="317"/>
    </row>
    <row r="582" spans="1:7" ht="18">
      <c r="A582" s="317"/>
      <c r="B582" s="317"/>
      <c r="C582" s="577"/>
      <c r="D582" s="577"/>
      <c r="E582" s="577"/>
      <c r="F582" s="317"/>
      <c r="G582" s="317"/>
    </row>
    <row r="583" spans="1:7" ht="18">
      <c r="A583" s="317"/>
      <c r="B583" s="317"/>
      <c r="C583" s="577"/>
      <c r="D583" s="577"/>
      <c r="E583" s="577"/>
      <c r="F583" s="317"/>
      <c r="G583" s="317"/>
    </row>
    <row r="584" spans="1:7" ht="18">
      <c r="A584" s="317"/>
      <c r="B584" s="317"/>
      <c r="C584" s="577"/>
      <c r="D584" s="577"/>
      <c r="E584" s="577"/>
      <c r="F584" s="317"/>
      <c r="G584" s="317"/>
    </row>
    <row r="585" spans="1:7" ht="18">
      <c r="A585" s="317"/>
      <c r="B585" s="317"/>
      <c r="C585" s="577"/>
      <c r="D585" s="577"/>
      <c r="E585" s="577"/>
      <c r="F585" s="317"/>
      <c r="G585" s="317"/>
    </row>
    <row r="586" spans="1:7" ht="18">
      <c r="A586" s="317"/>
      <c r="B586" s="317"/>
      <c r="C586" s="577"/>
      <c r="D586" s="577"/>
      <c r="E586" s="577"/>
      <c r="F586" s="317"/>
      <c r="G586" s="317"/>
    </row>
    <row r="587" spans="1:7" ht="18">
      <c r="A587" s="317"/>
      <c r="B587" s="317"/>
      <c r="C587" s="577"/>
      <c r="D587" s="577"/>
      <c r="E587" s="577"/>
      <c r="F587" s="317"/>
      <c r="G587" s="317"/>
    </row>
    <row r="588" spans="1:7" ht="18">
      <c r="A588" s="317"/>
      <c r="B588" s="317"/>
      <c r="C588" s="577"/>
      <c r="D588" s="577"/>
      <c r="E588" s="577"/>
      <c r="F588" s="317"/>
      <c r="G588" s="317"/>
    </row>
    <row r="589" spans="1:7" ht="18">
      <c r="A589" s="317"/>
      <c r="B589" s="317"/>
      <c r="C589" s="577"/>
      <c r="D589" s="577"/>
      <c r="E589" s="577"/>
      <c r="F589" s="317"/>
      <c r="G589" s="317"/>
    </row>
    <row r="590" spans="1:7" ht="18">
      <c r="A590" s="317"/>
      <c r="B590" s="317"/>
      <c r="C590" s="577"/>
      <c r="D590" s="577"/>
      <c r="E590" s="577"/>
      <c r="F590" s="317"/>
      <c r="G590" s="317"/>
    </row>
    <row r="591" spans="1:7" ht="18">
      <c r="A591" s="317"/>
      <c r="B591" s="317"/>
      <c r="C591" s="577"/>
      <c r="D591" s="577"/>
      <c r="E591" s="577"/>
      <c r="F591" s="317"/>
      <c r="G591" s="317"/>
    </row>
    <row r="592" spans="1:7" ht="18">
      <c r="A592" s="317"/>
      <c r="B592" s="317"/>
      <c r="C592" s="577"/>
      <c r="D592" s="577"/>
      <c r="E592" s="577"/>
      <c r="F592" s="317"/>
      <c r="G592" s="317"/>
    </row>
    <row r="593" spans="1:7" ht="18">
      <c r="A593" s="317"/>
      <c r="B593" s="317"/>
      <c r="C593" s="577"/>
      <c r="D593" s="577"/>
      <c r="E593" s="577"/>
      <c r="F593" s="317"/>
      <c r="G593" s="317"/>
    </row>
    <row r="594" spans="1:7" ht="18">
      <c r="A594" s="317"/>
      <c r="B594" s="317"/>
      <c r="C594" s="577"/>
      <c r="D594" s="577"/>
      <c r="E594" s="577"/>
      <c r="F594" s="317"/>
      <c r="G594" s="317"/>
    </row>
    <row r="595" spans="1:7" ht="18">
      <c r="A595" s="317"/>
      <c r="B595" s="317"/>
      <c r="C595" s="577"/>
      <c r="D595" s="577"/>
      <c r="E595" s="577"/>
      <c r="F595" s="317"/>
      <c r="G595" s="317"/>
    </row>
    <row r="596" spans="1:7" ht="18">
      <c r="A596" s="317"/>
      <c r="B596" s="317"/>
      <c r="C596" s="577"/>
      <c r="D596" s="577"/>
      <c r="E596" s="577"/>
      <c r="F596" s="317"/>
      <c r="G596" s="317"/>
    </row>
    <row r="597" spans="1:7" ht="18">
      <c r="A597" s="317"/>
      <c r="B597" s="317"/>
      <c r="C597" s="577"/>
      <c r="D597" s="577"/>
      <c r="E597" s="577"/>
      <c r="F597" s="317"/>
      <c r="G597" s="317"/>
    </row>
    <row r="598" spans="1:7" ht="18">
      <c r="A598" s="317"/>
      <c r="B598" s="317"/>
      <c r="C598" s="577"/>
      <c r="D598" s="577"/>
      <c r="E598" s="577"/>
      <c r="F598" s="317"/>
      <c r="G598" s="317"/>
    </row>
    <row r="599" spans="1:7" ht="18">
      <c r="A599" s="317"/>
      <c r="B599" s="317"/>
      <c r="C599" s="577"/>
      <c r="D599" s="577"/>
      <c r="E599" s="577"/>
      <c r="F599" s="317"/>
      <c r="G599" s="317"/>
    </row>
    <row r="600" spans="1:7" ht="18">
      <c r="A600" s="317"/>
      <c r="B600" s="317"/>
      <c r="C600" s="577"/>
      <c r="D600" s="577"/>
      <c r="E600" s="577"/>
      <c r="F600" s="317"/>
      <c r="G600" s="317"/>
    </row>
    <row r="601" spans="1:7" ht="18">
      <c r="A601" s="317"/>
      <c r="B601" s="317"/>
      <c r="C601" s="577"/>
      <c r="D601" s="577"/>
      <c r="E601" s="577"/>
      <c r="F601" s="317"/>
      <c r="G601" s="317"/>
    </row>
    <row r="602" spans="1:7" ht="18">
      <c r="A602" s="317"/>
      <c r="B602" s="317"/>
      <c r="C602" s="577"/>
      <c r="D602" s="577"/>
      <c r="E602" s="577"/>
      <c r="F602" s="317"/>
      <c r="G602" s="317"/>
    </row>
    <row r="603" spans="1:7" ht="18">
      <c r="A603" s="317"/>
      <c r="B603" s="317"/>
      <c r="C603" s="577"/>
      <c r="D603" s="577"/>
      <c r="E603" s="577"/>
      <c r="F603" s="317"/>
      <c r="G603" s="317"/>
    </row>
    <row r="604" spans="1:7" ht="18">
      <c r="A604" s="317"/>
      <c r="B604" s="317"/>
      <c r="C604" s="577"/>
      <c r="D604" s="577"/>
      <c r="E604" s="577"/>
      <c r="F604" s="317"/>
      <c r="G604" s="317"/>
    </row>
    <row r="605" spans="1:7" ht="18">
      <c r="A605" s="317"/>
      <c r="B605" s="317"/>
      <c r="C605" s="577"/>
      <c r="D605" s="577"/>
      <c r="E605" s="577"/>
      <c r="F605" s="317"/>
      <c r="G605" s="317"/>
    </row>
    <row r="606" spans="1:7" ht="18">
      <c r="A606" s="317"/>
      <c r="B606" s="317"/>
      <c r="C606" s="577"/>
      <c r="D606" s="577"/>
      <c r="E606" s="577"/>
      <c r="F606" s="317"/>
      <c r="G606" s="317"/>
    </row>
    <row r="607" spans="1:7" ht="18">
      <c r="A607" s="317"/>
      <c r="B607" s="317"/>
      <c r="C607" s="577"/>
      <c r="D607" s="577"/>
      <c r="E607" s="577"/>
      <c r="F607" s="317"/>
      <c r="G607" s="317"/>
    </row>
    <row r="608" spans="1:7" ht="18">
      <c r="A608" s="317"/>
      <c r="B608" s="317"/>
      <c r="C608" s="577"/>
      <c r="D608" s="577"/>
      <c r="E608" s="577"/>
      <c r="F608" s="317"/>
      <c r="G608" s="317"/>
    </row>
    <row r="609" spans="1:7" ht="18">
      <c r="A609" s="317"/>
      <c r="B609" s="317"/>
      <c r="C609" s="577"/>
      <c r="D609" s="577"/>
      <c r="E609" s="577"/>
      <c r="F609" s="317"/>
      <c r="G609" s="317"/>
    </row>
    <row r="610" spans="1:7" ht="18">
      <c r="A610" s="317"/>
      <c r="B610" s="317"/>
      <c r="C610" s="577"/>
      <c r="D610" s="577"/>
      <c r="E610" s="577"/>
      <c r="F610" s="317"/>
      <c r="G610" s="317"/>
    </row>
    <row r="611" spans="1:7" ht="18">
      <c r="A611" s="317"/>
      <c r="B611" s="317"/>
      <c r="C611" s="577"/>
      <c r="D611" s="577"/>
      <c r="E611" s="577"/>
      <c r="F611" s="317"/>
      <c r="G611" s="317"/>
    </row>
    <row r="612" spans="1:7" ht="18">
      <c r="A612" s="317"/>
      <c r="B612" s="317"/>
      <c r="C612" s="577"/>
      <c r="D612" s="577"/>
      <c r="E612" s="577"/>
      <c r="F612" s="317"/>
      <c r="G612" s="317"/>
    </row>
    <row r="613" spans="1:7" ht="18">
      <c r="A613" s="317"/>
      <c r="B613" s="317"/>
      <c r="C613" s="577"/>
      <c r="D613" s="577"/>
      <c r="E613" s="577"/>
      <c r="F613" s="317"/>
      <c r="G613" s="317"/>
    </row>
    <row r="614" spans="1:7" ht="18">
      <c r="A614" s="317"/>
      <c r="B614" s="317"/>
      <c r="C614" s="577"/>
      <c r="D614" s="577"/>
      <c r="E614" s="577"/>
      <c r="F614" s="317"/>
      <c r="G614" s="317"/>
    </row>
    <row r="615" spans="1:7" ht="18">
      <c r="A615" s="317"/>
      <c r="B615" s="317"/>
      <c r="C615" s="577"/>
      <c r="D615" s="577"/>
      <c r="E615" s="577"/>
      <c r="F615" s="317"/>
      <c r="G615" s="317"/>
    </row>
    <row r="616" spans="1:7" ht="18">
      <c r="A616" s="317"/>
      <c r="B616" s="317"/>
      <c r="C616" s="577"/>
      <c r="D616" s="577"/>
      <c r="E616" s="577"/>
      <c r="F616" s="317"/>
      <c r="G616" s="317"/>
    </row>
    <row r="617" spans="1:7" ht="18">
      <c r="A617" s="317"/>
      <c r="B617" s="317"/>
      <c r="C617" s="577"/>
      <c r="D617" s="577"/>
      <c r="E617" s="577"/>
      <c r="F617" s="317"/>
      <c r="G617" s="317"/>
    </row>
    <row r="618" spans="1:7" ht="18">
      <c r="A618" s="317"/>
      <c r="B618" s="317"/>
      <c r="C618" s="577"/>
      <c r="D618" s="577"/>
      <c r="E618" s="577"/>
      <c r="F618" s="317"/>
      <c r="G618" s="317"/>
    </row>
    <row r="619" spans="1:7" ht="18">
      <c r="A619" s="317"/>
      <c r="B619" s="317"/>
      <c r="C619" s="577"/>
      <c r="D619" s="577"/>
      <c r="E619" s="577"/>
      <c r="F619" s="317"/>
      <c r="G619" s="317"/>
    </row>
    <row r="620" spans="1:7" ht="18">
      <c r="A620" s="317"/>
      <c r="B620" s="317"/>
      <c r="C620" s="577"/>
      <c r="D620" s="577"/>
      <c r="E620" s="577"/>
      <c r="F620" s="317"/>
      <c r="G620" s="317"/>
    </row>
    <row r="621" spans="1:7" ht="18">
      <c r="A621" s="317"/>
      <c r="B621" s="317"/>
      <c r="C621" s="577"/>
      <c r="D621" s="577"/>
      <c r="E621" s="577"/>
      <c r="F621" s="317"/>
      <c r="G621" s="317"/>
    </row>
    <row r="622" spans="1:7" ht="18">
      <c r="A622" s="317"/>
      <c r="B622" s="317"/>
      <c r="C622" s="577"/>
      <c r="D622" s="577"/>
      <c r="E622" s="577"/>
      <c r="F622" s="317"/>
      <c r="G622" s="317"/>
    </row>
    <row r="623" spans="1:7" ht="18">
      <c r="A623" s="317"/>
      <c r="B623" s="317"/>
      <c r="C623" s="577"/>
      <c r="D623" s="577"/>
      <c r="E623" s="577"/>
      <c r="F623" s="317"/>
      <c r="G623" s="317"/>
    </row>
    <row r="624" spans="1:7" ht="18">
      <c r="A624" s="317"/>
      <c r="B624" s="317"/>
      <c r="C624" s="577"/>
      <c r="D624" s="577"/>
      <c r="E624" s="577"/>
      <c r="F624" s="317"/>
      <c r="G624" s="317"/>
    </row>
    <row r="625" spans="1:7" ht="18">
      <c r="A625" s="317"/>
      <c r="B625" s="317"/>
      <c r="C625" s="577"/>
      <c r="D625" s="577"/>
      <c r="E625" s="577"/>
      <c r="F625" s="317"/>
      <c r="G625" s="317"/>
    </row>
    <row r="626" spans="1:7" ht="18">
      <c r="A626" s="317"/>
      <c r="B626" s="317"/>
      <c r="C626" s="577"/>
      <c r="D626" s="577"/>
      <c r="E626" s="577"/>
      <c r="F626" s="317"/>
      <c r="G626" s="317"/>
    </row>
    <row r="627" spans="1:7" ht="18">
      <c r="A627" s="317"/>
      <c r="B627" s="317"/>
      <c r="C627" s="577"/>
      <c r="D627" s="577"/>
      <c r="E627" s="577"/>
      <c r="F627" s="317"/>
      <c r="G627" s="317"/>
    </row>
    <row r="628" spans="1:7" ht="18">
      <c r="A628" s="317"/>
      <c r="B628" s="317"/>
      <c r="C628" s="577"/>
      <c r="D628" s="577"/>
      <c r="E628" s="577"/>
      <c r="F628" s="317"/>
      <c r="G628" s="317"/>
    </row>
    <row r="629" spans="1:7" ht="18">
      <c r="A629" s="317"/>
      <c r="B629" s="317"/>
      <c r="C629" s="577"/>
      <c r="D629" s="577"/>
      <c r="E629" s="577"/>
      <c r="F629" s="317"/>
      <c r="G629" s="317"/>
    </row>
    <row r="630" spans="1:7" ht="18">
      <c r="A630" s="317"/>
      <c r="B630" s="317"/>
      <c r="C630" s="577"/>
      <c r="D630" s="577"/>
      <c r="E630" s="577"/>
      <c r="F630" s="317"/>
      <c r="G630" s="317"/>
    </row>
    <row r="631" spans="1:7" ht="18">
      <c r="A631" s="317"/>
      <c r="B631" s="317"/>
      <c r="C631" s="577"/>
      <c r="D631" s="577"/>
      <c r="E631" s="577"/>
      <c r="F631" s="317"/>
      <c r="G631" s="317"/>
    </row>
    <row r="632" spans="1:7" ht="18">
      <c r="A632" s="317"/>
      <c r="B632" s="317"/>
      <c r="C632" s="577"/>
      <c r="D632" s="577"/>
      <c r="E632" s="577"/>
      <c r="F632" s="317"/>
      <c r="G632" s="317"/>
    </row>
    <row r="633" spans="1:7" ht="18">
      <c r="A633" s="317"/>
      <c r="B633" s="317"/>
      <c r="C633" s="577"/>
      <c r="D633" s="577"/>
      <c r="E633" s="577"/>
      <c r="F633" s="317"/>
      <c r="G633" s="317"/>
    </row>
    <row r="634" spans="1:7" ht="18">
      <c r="A634" s="317"/>
      <c r="B634" s="317"/>
      <c r="C634" s="577"/>
      <c r="D634" s="577"/>
      <c r="E634" s="577"/>
      <c r="F634" s="317"/>
      <c r="G634" s="317"/>
    </row>
    <row r="635" spans="1:7" ht="18">
      <c r="A635" s="317"/>
      <c r="B635" s="317"/>
      <c r="C635" s="577"/>
      <c r="D635" s="577"/>
      <c r="E635" s="577"/>
      <c r="F635" s="317"/>
      <c r="G635" s="317"/>
    </row>
    <row r="636" spans="1:7" ht="18">
      <c r="A636" s="317"/>
      <c r="B636" s="317"/>
      <c r="C636" s="577"/>
      <c r="D636" s="577"/>
      <c r="E636" s="577"/>
      <c r="F636" s="317"/>
      <c r="G636" s="317"/>
    </row>
    <row r="637" spans="1:7" ht="18">
      <c r="A637" s="317"/>
      <c r="B637" s="317"/>
      <c r="C637" s="577"/>
      <c r="D637" s="577"/>
      <c r="E637" s="577"/>
      <c r="F637" s="317"/>
      <c r="G637" s="317"/>
    </row>
    <row r="638" spans="1:7" ht="18">
      <c r="A638" s="317"/>
      <c r="B638" s="317"/>
      <c r="C638" s="577"/>
      <c r="D638" s="577"/>
      <c r="E638" s="577"/>
      <c r="F638" s="317"/>
      <c r="G638" s="317"/>
    </row>
    <row r="639" spans="1:7" ht="18">
      <c r="A639" s="317"/>
      <c r="B639" s="317"/>
      <c r="C639" s="577"/>
      <c r="D639" s="577"/>
      <c r="E639" s="577"/>
      <c r="F639" s="317"/>
      <c r="G639" s="317"/>
    </row>
    <row r="640" spans="1:7" ht="18">
      <c r="A640" s="317"/>
      <c r="B640" s="317"/>
      <c r="C640" s="577"/>
      <c r="D640" s="577"/>
      <c r="E640" s="577"/>
      <c r="F640" s="317"/>
      <c r="G640" s="317"/>
    </row>
    <row r="641" spans="1:7" ht="18">
      <c r="A641" s="317"/>
      <c r="B641" s="317"/>
      <c r="C641" s="577"/>
      <c r="D641" s="577"/>
      <c r="E641" s="577"/>
      <c r="F641" s="317"/>
      <c r="G641" s="317"/>
    </row>
    <row r="642" spans="1:7" ht="18">
      <c r="A642" s="317"/>
      <c r="B642" s="317"/>
      <c r="C642" s="577"/>
      <c r="D642" s="577"/>
      <c r="E642" s="577"/>
      <c r="F642" s="317"/>
      <c r="G642" s="317"/>
    </row>
    <row r="643" spans="1:7" ht="18">
      <c r="A643" s="317"/>
      <c r="B643" s="317"/>
      <c r="C643" s="577"/>
      <c r="D643" s="577"/>
      <c r="E643" s="577"/>
      <c r="F643" s="317"/>
      <c r="G643" s="317"/>
    </row>
    <row r="644" spans="1:7" ht="18">
      <c r="A644" s="317"/>
      <c r="B644" s="317"/>
      <c r="C644" s="577"/>
      <c r="D644" s="577"/>
      <c r="E644" s="577"/>
      <c r="F644" s="317"/>
      <c r="G644" s="317"/>
    </row>
    <row r="645" spans="1:7" ht="18">
      <c r="A645" s="317"/>
      <c r="B645" s="317"/>
      <c r="C645" s="577"/>
      <c r="D645" s="577"/>
      <c r="E645" s="577"/>
      <c r="F645" s="317"/>
      <c r="G645" s="317"/>
    </row>
    <row r="646" spans="1:7" ht="18">
      <c r="A646" s="317"/>
      <c r="B646" s="317"/>
      <c r="C646" s="577"/>
      <c r="D646" s="577"/>
      <c r="E646" s="577"/>
      <c r="F646" s="317"/>
      <c r="G646" s="317"/>
    </row>
    <row r="647" spans="1:7" ht="18">
      <c r="A647" s="317"/>
      <c r="B647" s="317"/>
      <c r="C647" s="577"/>
      <c r="D647" s="577"/>
      <c r="E647" s="577"/>
      <c r="F647" s="317"/>
      <c r="G647" s="317"/>
    </row>
    <row r="648" spans="1:7" ht="18">
      <c r="A648" s="317"/>
      <c r="B648" s="317"/>
      <c r="C648" s="577"/>
      <c r="D648" s="577"/>
      <c r="E648" s="577"/>
      <c r="F648" s="317"/>
      <c r="G648" s="317"/>
    </row>
    <row r="649" spans="1:7" ht="18">
      <c r="A649" s="317"/>
      <c r="B649" s="317"/>
      <c r="C649" s="577"/>
      <c r="D649" s="577"/>
      <c r="E649" s="577"/>
      <c r="F649" s="317"/>
      <c r="G649" s="317"/>
    </row>
    <row r="650" spans="1:7" ht="18">
      <c r="A650" s="317"/>
      <c r="B650" s="317"/>
      <c r="C650" s="577"/>
      <c r="D650" s="577"/>
      <c r="E650" s="577"/>
      <c r="F650" s="317"/>
      <c r="G650" s="317"/>
    </row>
    <row r="651" spans="1:7" ht="18">
      <c r="A651" s="317"/>
      <c r="B651" s="317"/>
      <c r="C651" s="577"/>
      <c r="D651" s="577"/>
      <c r="E651" s="577"/>
      <c r="F651" s="317"/>
      <c r="G651" s="317"/>
    </row>
    <row r="652" spans="1:7" ht="18">
      <c r="A652" s="317"/>
      <c r="B652" s="317"/>
      <c r="C652" s="577"/>
      <c r="D652" s="577"/>
      <c r="E652" s="577"/>
      <c r="F652" s="317"/>
      <c r="G652" s="317"/>
    </row>
    <row r="653" spans="1:7" ht="18">
      <c r="A653" s="317"/>
      <c r="B653" s="317"/>
      <c r="C653" s="577"/>
      <c r="D653" s="577"/>
      <c r="E653" s="577"/>
      <c r="F653" s="317"/>
      <c r="G653" s="317"/>
    </row>
    <row r="654" spans="1:7" ht="18">
      <c r="A654" s="317"/>
      <c r="B654" s="317"/>
      <c r="C654" s="577"/>
      <c r="D654" s="577"/>
      <c r="E654" s="577"/>
      <c r="F654" s="317"/>
      <c r="G654" s="317"/>
    </row>
    <row r="655" spans="1:7" ht="18">
      <c r="A655" s="317"/>
      <c r="B655" s="317"/>
      <c r="C655" s="577"/>
      <c r="D655" s="577"/>
      <c r="E655" s="577"/>
      <c r="F655" s="317"/>
      <c r="G655" s="317"/>
    </row>
    <row r="656" spans="1:7" ht="18">
      <c r="A656" s="317"/>
      <c r="B656" s="317"/>
      <c r="C656" s="577"/>
      <c r="D656" s="577"/>
      <c r="E656" s="577"/>
      <c r="F656" s="317"/>
      <c r="G656" s="317"/>
    </row>
    <row r="657" spans="1:7" ht="18">
      <c r="A657" s="317"/>
      <c r="B657" s="317"/>
      <c r="C657" s="577"/>
      <c r="D657" s="577"/>
      <c r="E657" s="577"/>
      <c r="F657" s="317"/>
      <c r="G657" s="317"/>
    </row>
    <row r="658" spans="1:7" ht="18">
      <c r="A658" s="317"/>
      <c r="B658" s="317"/>
      <c r="C658" s="577"/>
      <c r="D658" s="577"/>
      <c r="E658" s="577"/>
      <c r="F658" s="317"/>
      <c r="G658" s="317"/>
    </row>
    <row r="659" spans="1:7" ht="18">
      <c r="A659" s="317"/>
      <c r="B659" s="317"/>
      <c r="C659" s="577"/>
      <c r="D659" s="577"/>
      <c r="E659" s="577"/>
      <c r="F659" s="317"/>
      <c r="G659" s="317"/>
    </row>
    <row r="660" spans="1:7" ht="18">
      <c r="A660" s="317"/>
      <c r="B660" s="317"/>
      <c r="C660" s="577"/>
      <c r="D660" s="577"/>
      <c r="E660" s="577"/>
      <c r="F660" s="317"/>
      <c r="G660" s="317"/>
    </row>
    <row r="661" spans="1:7" ht="18">
      <c r="A661" s="317"/>
      <c r="B661" s="317"/>
      <c r="C661" s="577"/>
      <c r="D661" s="577"/>
      <c r="E661" s="577"/>
      <c r="F661" s="317"/>
      <c r="G661" s="317"/>
    </row>
    <row r="662" spans="1:7" ht="18">
      <c r="A662" s="317"/>
      <c r="B662" s="317"/>
      <c r="C662" s="577"/>
      <c r="D662" s="577"/>
      <c r="E662" s="577"/>
      <c r="F662" s="317"/>
      <c r="G662" s="317"/>
    </row>
    <row r="663" spans="1:7" ht="18">
      <c r="A663" s="317"/>
      <c r="B663" s="317"/>
      <c r="C663" s="577"/>
      <c r="D663" s="577"/>
      <c r="E663" s="577"/>
      <c r="F663" s="317"/>
      <c r="G663" s="317"/>
    </row>
    <row r="664" spans="1:7" ht="18">
      <c r="A664" s="317"/>
      <c r="B664" s="317"/>
      <c r="C664" s="577"/>
      <c r="D664" s="577"/>
      <c r="E664" s="577"/>
      <c r="F664" s="317"/>
      <c r="G664" s="317"/>
    </row>
    <row r="665" spans="1:7" ht="18">
      <c r="A665" s="317"/>
      <c r="B665" s="317"/>
      <c r="C665" s="577"/>
      <c r="D665" s="577"/>
      <c r="E665" s="577"/>
      <c r="F665" s="317"/>
      <c r="G665" s="317"/>
    </row>
    <row r="666" spans="1:7" ht="18">
      <c r="A666" s="317"/>
      <c r="B666" s="317"/>
      <c r="C666" s="577"/>
      <c r="D666" s="577"/>
      <c r="E666" s="577"/>
      <c r="F666" s="317"/>
      <c r="G666" s="317"/>
    </row>
    <row r="667" spans="1:7" ht="18">
      <c r="A667" s="317"/>
      <c r="B667" s="317"/>
      <c r="C667" s="577"/>
      <c r="D667" s="577"/>
      <c r="E667" s="577"/>
      <c r="F667" s="317"/>
      <c r="G667" s="317"/>
    </row>
    <row r="668" spans="1:7" ht="18">
      <c r="A668" s="317"/>
      <c r="B668" s="317"/>
      <c r="C668" s="577"/>
      <c r="D668" s="577"/>
      <c r="E668" s="577"/>
      <c r="F668" s="317"/>
      <c r="G668" s="317"/>
    </row>
    <row r="669" spans="1:7" ht="18">
      <c r="A669" s="317"/>
      <c r="B669" s="317"/>
      <c r="C669" s="577"/>
      <c r="D669" s="577"/>
      <c r="E669" s="577"/>
      <c r="F669" s="317"/>
      <c r="G669" s="317"/>
    </row>
    <row r="670" spans="1:7" ht="18">
      <c r="A670" s="317"/>
      <c r="B670" s="317"/>
      <c r="C670" s="577"/>
      <c r="D670" s="577"/>
      <c r="E670" s="577"/>
      <c r="F670" s="317"/>
      <c r="G670" s="317"/>
    </row>
    <row r="671" spans="1:7" ht="18">
      <c r="A671" s="317"/>
      <c r="B671" s="317"/>
      <c r="C671" s="577"/>
      <c r="D671" s="577"/>
      <c r="E671" s="577"/>
      <c r="F671" s="317"/>
      <c r="G671" s="317"/>
    </row>
    <row r="672" spans="1:7" ht="18">
      <c r="A672" s="317"/>
      <c r="B672" s="317"/>
      <c r="C672" s="577"/>
      <c r="D672" s="577"/>
      <c r="E672" s="577"/>
      <c r="F672" s="317"/>
      <c r="G672" s="317"/>
    </row>
    <row r="673" spans="1:7" ht="18">
      <c r="A673" s="317"/>
      <c r="B673" s="317"/>
      <c r="C673" s="577"/>
      <c r="D673" s="577"/>
      <c r="E673" s="577"/>
      <c r="F673" s="317"/>
      <c r="G673" s="317"/>
    </row>
    <row r="674" spans="1:7" ht="18">
      <c r="A674" s="317"/>
      <c r="B674" s="317"/>
      <c r="C674" s="577"/>
      <c r="D674" s="577"/>
      <c r="E674" s="577"/>
      <c r="F674" s="317"/>
      <c r="G674" s="317"/>
    </row>
    <row r="675" spans="1:7" ht="18">
      <c r="A675" s="317"/>
      <c r="B675" s="317"/>
      <c r="C675" s="577"/>
      <c r="D675" s="577"/>
      <c r="E675" s="577"/>
      <c r="F675" s="317"/>
      <c r="G675" s="317"/>
    </row>
    <row r="676" spans="1:7" ht="18">
      <c r="A676" s="317"/>
      <c r="B676" s="317"/>
      <c r="C676" s="577"/>
      <c r="D676" s="577"/>
      <c r="E676" s="577"/>
      <c r="F676" s="317"/>
      <c r="G676" s="317"/>
    </row>
    <row r="677" spans="1:7" ht="18">
      <c r="A677" s="317"/>
      <c r="B677" s="317"/>
      <c r="C677" s="577"/>
      <c r="D677" s="577"/>
      <c r="E677" s="577"/>
      <c r="F677" s="317"/>
      <c r="G677" s="317"/>
    </row>
    <row r="678" spans="1:7" ht="18">
      <c r="A678" s="317"/>
      <c r="B678" s="317"/>
      <c r="C678" s="577"/>
      <c r="D678" s="577"/>
      <c r="E678" s="577"/>
      <c r="F678" s="317"/>
      <c r="G678" s="317"/>
    </row>
    <row r="679" spans="1:7" ht="18">
      <c r="A679" s="317"/>
      <c r="B679" s="317"/>
      <c r="C679" s="577"/>
      <c r="D679" s="577"/>
      <c r="E679" s="577"/>
      <c r="F679" s="317"/>
      <c r="G679" s="317"/>
    </row>
    <row r="680" spans="1:7" ht="18">
      <c r="A680" s="317"/>
      <c r="B680" s="317"/>
      <c r="C680" s="577"/>
      <c r="D680" s="577"/>
      <c r="E680" s="577"/>
      <c r="F680" s="317"/>
      <c r="G680" s="317"/>
    </row>
    <row r="681" spans="1:7" ht="18">
      <c r="A681" s="317"/>
      <c r="B681" s="317"/>
      <c r="C681" s="577"/>
      <c r="D681" s="577"/>
      <c r="E681" s="577"/>
      <c r="F681" s="317"/>
      <c r="G681" s="317"/>
    </row>
    <row r="682" spans="1:7" ht="18">
      <c r="A682" s="317"/>
      <c r="B682" s="317"/>
      <c r="C682" s="577"/>
      <c r="D682" s="577"/>
      <c r="E682" s="577"/>
      <c r="F682" s="317"/>
      <c r="G682" s="317"/>
    </row>
    <row r="683" spans="1:7" ht="18">
      <c r="A683" s="317"/>
      <c r="B683" s="317"/>
      <c r="C683" s="577"/>
      <c r="D683" s="577"/>
      <c r="E683" s="577"/>
      <c r="F683" s="317"/>
      <c r="G683" s="317"/>
    </row>
    <row r="684" spans="1:7" ht="18">
      <c r="A684" s="317"/>
      <c r="B684" s="317"/>
      <c r="C684" s="577"/>
      <c r="D684" s="577"/>
      <c r="E684" s="577"/>
      <c r="F684" s="317"/>
      <c r="G684" s="317"/>
    </row>
    <row r="685" spans="1:7" ht="18">
      <c r="A685" s="317"/>
      <c r="B685" s="317"/>
      <c r="C685" s="577"/>
      <c r="D685" s="577"/>
      <c r="E685" s="577"/>
      <c r="F685" s="317"/>
      <c r="G685" s="317"/>
    </row>
    <row r="686" spans="1:7" ht="18">
      <c r="A686" s="317"/>
      <c r="B686" s="317"/>
      <c r="C686" s="577"/>
      <c r="D686" s="577"/>
      <c r="E686" s="577"/>
      <c r="F686" s="317"/>
      <c r="G686" s="317"/>
    </row>
    <row r="687" spans="1:7" ht="18">
      <c r="A687" s="317"/>
      <c r="B687" s="317"/>
      <c r="C687" s="577"/>
      <c r="D687" s="577"/>
      <c r="E687" s="577"/>
      <c r="F687" s="317"/>
      <c r="G687" s="317"/>
    </row>
    <row r="688" spans="1:7" ht="18">
      <c r="A688" s="317"/>
      <c r="B688" s="317"/>
      <c r="C688" s="577"/>
      <c r="D688" s="577"/>
      <c r="E688" s="577"/>
      <c r="F688" s="317"/>
      <c r="G688" s="317"/>
    </row>
    <row r="689" spans="1:7" ht="18">
      <c r="A689" s="317"/>
      <c r="B689" s="317"/>
      <c r="C689" s="577"/>
      <c r="D689" s="577"/>
      <c r="E689" s="577"/>
      <c r="F689" s="317"/>
      <c r="G689" s="317"/>
    </row>
    <row r="690" spans="1:7" ht="18">
      <c r="A690" s="317"/>
      <c r="B690" s="317"/>
      <c r="C690" s="577"/>
      <c r="D690" s="577"/>
      <c r="E690" s="577"/>
      <c r="F690" s="317"/>
      <c r="G690" s="317"/>
    </row>
    <row r="691" spans="1:7" ht="18">
      <c r="A691" s="317"/>
      <c r="B691" s="317"/>
      <c r="C691" s="577"/>
      <c r="D691" s="577"/>
      <c r="E691" s="577"/>
      <c r="F691" s="317"/>
      <c r="G691" s="317"/>
    </row>
    <row r="692" spans="1:7" ht="18">
      <c r="A692" s="317"/>
      <c r="B692" s="317"/>
      <c r="C692" s="577"/>
      <c r="D692" s="577"/>
      <c r="E692" s="577"/>
      <c r="F692" s="317"/>
      <c r="G692" s="317"/>
    </row>
    <row r="693" spans="1:7" ht="18">
      <c r="A693" s="317"/>
      <c r="B693" s="317"/>
      <c r="C693" s="577"/>
      <c r="D693" s="577"/>
      <c r="E693" s="577"/>
      <c r="F693" s="317"/>
      <c r="G693" s="317"/>
    </row>
    <row r="694" spans="1:7" ht="18">
      <c r="A694" s="317"/>
      <c r="B694" s="317"/>
      <c r="C694" s="577"/>
      <c r="D694" s="577"/>
      <c r="E694" s="577"/>
      <c r="F694" s="317"/>
      <c r="G694" s="317"/>
    </row>
    <row r="695" spans="1:7" ht="18">
      <c r="A695" s="317"/>
      <c r="B695" s="317"/>
      <c r="C695" s="577"/>
      <c r="D695" s="577"/>
      <c r="E695" s="577"/>
      <c r="F695" s="317"/>
      <c r="G695" s="317"/>
    </row>
    <row r="696" spans="1:7" ht="18">
      <c r="A696" s="317"/>
      <c r="B696" s="317"/>
      <c r="C696" s="577"/>
      <c r="D696" s="577"/>
      <c r="E696" s="577"/>
      <c r="F696" s="317"/>
      <c r="G696" s="317"/>
    </row>
    <row r="697" spans="1:7" ht="18">
      <c r="A697" s="317"/>
      <c r="B697" s="317"/>
      <c r="C697" s="577"/>
      <c r="D697" s="577"/>
      <c r="E697" s="577"/>
      <c r="F697" s="317"/>
      <c r="G697" s="317"/>
    </row>
    <row r="698" spans="1:7" ht="18">
      <c r="A698" s="317"/>
      <c r="B698" s="317"/>
      <c r="C698" s="577"/>
      <c r="D698" s="577"/>
      <c r="E698" s="577"/>
      <c r="F698" s="317"/>
      <c r="G698" s="317"/>
    </row>
    <row r="699" spans="1:7" ht="18">
      <c r="A699" s="317"/>
      <c r="B699" s="317"/>
      <c r="C699" s="577"/>
      <c r="D699" s="577"/>
      <c r="E699" s="577"/>
      <c r="F699" s="317"/>
      <c r="G699" s="317"/>
    </row>
    <row r="700" spans="1:7" ht="18">
      <c r="A700" s="317"/>
      <c r="B700" s="317"/>
      <c r="C700" s="577"/>
      <c r="D700" s="577"/>
      <c r="E700" s="577"/>
      <c r="F700" s="317"/>
      <c r="G700" s="317"/>
    </row>
    <row r="701" spans="1:7" ht="18">
      <c r="A701" s="317"/>
      <c r="B701" s="317"/>
      <c r="C701" s="577"/>
      <c r="D701" s="577"/>
      <c r="E701" s="577"/>
      <c r="F701" s="317"/>
      <c r="G701" s="317"/>
    </row>
    <row r="702" spans="1:7" ht="18">
      <c r="A702" s="317"/>
      <c r="B702" s="317"/>
      <c r="C702" s="577"/>
      <c r="D702" s="577"/>
      <c r="E702" s="577"/>
      <c r="F702" s="317"/>
      <c r="G702" s="317"/>
    </row>
    <row r="703" spans="1:7" ht="18">
      <c r="A703" s="317"/>
      <c r="B703" s="317"/>
      <c r="C703" s="577"/>
      <c r="D703" s="577"/>
      <c r="E703" s="577"/>
      <c r="F703" s="317"/>
      <c r="G703" s="317"/>
    </row>
    <row r="704" spans="1:7" ht="18">
      <c r="A704" s="317"/>
      <c r="B704" s="317"/>
      <c r="C704" s="577"/>
      <c r="D704" s="577"/>
      <c r="E704" s="577"/>
      <c r="F704" s="317"/>
      <c r="G704" s="317"/>
    </row>
    <row r="705" spans="1:7" ht="18">
      <c r="A705" s="317"/>
      <c r="B705" s="317"/>
      <c r="C705" s="577"/>
      <c r="D705" s="577"/>
      <c r="E705" s="577"/>
      <c r="F705" s="317"/>
      <c r="G705" s="317"/>
    </row>
    <row r="706" spans="1:7" ht="18">
      <c r="A706" s="317"/>
      <c r="B706" s="317"/>
      <c r="C706" s="577"/>
      <c r="D706" s="577"/>
      <c r="E706" s="577"/>
      <c r="F706" s="317"/>
      <c r="G706" s="317"/>
    </row>
    <row r="707" spans="1:7" ht="18">
      <c r="A707" s="317"/>
      <c r="B707" s="317"/>
      <c r="C707" s="577"/>
      <c r="D707" s="577"/>
      <c r="E707" s="577"/>
      <c r="F707" s="317"/>
      <c r="G707" s="317"/>
    </row>
    <row r="708" spans="1:7" ht="18">
      <c r="A708" s="317"/>
      <c r="B708" s="317"/>
      <c r="C708" s="577"/>
      <c r="D708" s="577"/>
      <c r="E708" s="577"/>
      <c r="F708" s="317"/>
      <c r="G708" s="317"/>
    </row>
    <row r="709" spans="1:7" ht="18">
      <c r="A709" s="317"/>
      <c r="B709" s="317"/>
      <c r="C709" s="577"/>
      <c r="D709" s="577"/>
      <c r="E709" s="577"/>
      <c r="F709" s="317"/>
      <c r="G709" s="317"/>
    </row>
    <row r="710" spans="1:7" ht="18">
      <c r="A710" s="317"/>
      <c r="B710" s="317"/>
      <c r="C710" s="577"/>
      <c r="D710" s="577"/>
      <c r="E710" s="577"/>
      <c r="F710" s="317"/>
      <c r="G710" s="317"/>
    </row>
    <row r="711" spans="1:7" ht="18">
      <c r="A711" s="317"/>
      <c r="B711" s="317"/>
      <c r="C711" s="577"/>
      <c r="D711" s="577"/>
      <c r="E711" s="577"/>
      <c r="F711" s="317"/>
      <c r="G711" s="317"/>
    </row>
    <row r="712" spans="1:7" ht="18">
      <c r="A712" s="317"/>
      <c r="B712" s="317"/>
      <c r="C712" s="577"/>
      <c r="D712" s="577"/>
      <c r="E712" s="577"/>
      <c r="F712" s="317"/>
      <c r="G712" s="317"/>
    </row>
    <row r="713" spans="1:7" ht="18">
      <c r="A713" s="317"/>
      <c r="B713" s="317"/>
      <c r="C713" s="577"/>
      <c r="D713" s="577"/>
      <c r="E713" s="577"/>
      <c r="F713" s="317"/>
      <c r="G713" s="317"/>
    </row>
    <row r="714" spans="1:7" ht="18">
      <c r="A714" s="317"/>
      <c r="B714" s="317"/>
      <c r="C714" s="577"/>
      <c r="D714" s="577"/>
      <c r="E714" s="577"/>
      <c r="F714" s="317"/>
      <c r="G714" s="317"/>
    </row>
    <row r="715" spans="1:7" ht="18">
      <c r="A715" s="317"/>
      <c r="B715" s="317"/>
      <c r="C715" s="577"/>
      <c r="D715" s="577"/>
      <c r="E715" s="577"/>
      <c r="F715" s="317"/>
      <c r="G715" s="317"/>
    </row>
    <row r="716" spans="1:7" ht="18">
      <c r="A716" s="317"/>
      <c r="B716" s="317"/>
      <c r="C716" s="577"/>
      <c r="D716" s="577"/>
      <c r="E716" s="577"/>
      <c r="F716" s="317"/>
      <c r="G716" s="317"/>
    </row>
    <row r="717" spans="1:7" ht="18">
      <c r="A717" s="317"/>
      <c r="B717" s="317"/>
      <c r="C717" s="577"/>
      <c r="D717" s="577"/>
      <c r="E717" s="577"/>
      <c r="F717" s="317"/>
      <c r="G717" s="317"/>
    </row>
    <row r="718" spans="1:7" ht="18">
      <c r="A718" s="317"/>
      <c r="B718" s="317"/>
      <c r="C718" s="577"/>
      <c r="D718" s="577"/>
      <c r="E718" s="577"/>
      <c r="F718" s="317"/>
      <c r="G718" s="317"/>
    </row>
    <row r="719" spans="1:7" ht="18">
      <c r="A719" s="317"/>
      <c r="B719" s="317"/>
      <c r="C719" s="577"/>
      <c r="D719" s="577"/>
      <c r="E719" s="577"/>
      <c r="F719" s="317"/>
      <c r="G719" s="317"/>
    </row>
    <row r="720" spans="1:7" ht="18">
      <c r="A720" s="317"/>
      <c r="B720" s="317"/>
      <c r="C720" s="577"/>
      <c r="D720" s="577"/>
      <c r="E720" s="577"/>
      <c r="F720" s="317"/>
      <c r="G720" s="317"/>
    </row>
    <row r="721" spans="1:7" ht="18">
      <c r="A721" s="317"/>
      <c r="B721" s="317"/>
      <c r="C721" s="577"/>
      <c r="D721" s="577"/>
      <c r="E721" s="577"/>
      <c r="F721" s="317"/>
      <c r="G721" s="317"/>
    </row>
    <row r="722" spans="1:7" ht="18">
      <c r="A722" s="317"/>
      <c r="B722" s="317"/>
      <c r="C722" s="577"/>
      <c r="D722" s="577"/>
      <c r="E722" s="577"/>
      <c r="F722" s="317"/>
      <c r="G722" s="317"/>
    </row>
    <row r="723" spans="1:7" ht="18">
      <c r="A723" s="317"/>
      <c r="B723" s="317"/>
      <c r="C723" s="577"/>
      <c r="D723" s="577"/>
      <c r="E723" s="577"/>
      <c r="F723" s="317"/>
      <c r="G723" s="317"/>
    </row>
    <row r="724" spans="1:7" ht="18">
      <c r="A724" s="317"/>
      <c r="B724" s="317"/>
      <c r="C724" s="577"/>
      <c r="D724" s="577"/>
      <c r="E724" s="577"/>
      <c r="F724" s="317"/>
      <c r="G724" s="317"/>
    </row>
    <row r="725" spans="1:7" ht="18">
      <c r="A725" s="317"/>
      <c r="B725" s="317"/>
      <c r="C725" s="577"/>
      <c r="D725" s="577"/>
      <c r="E725" s="577"/>
      <c r="F725" s="317"/>
      <c r="G725" s="317"/>
    </row>
    <row r="726" spans="1:7" ht="18">
      <c r="A726" s="317"/>
      <c r="B726" s="317"/>
      <c r="C726" s="577"/>
      <c r="D726" s="577"/>
      <c r="E726" s="577"/>
      <c r="F726" s="317"/>
      <c r="G726" s="317"/>
    </row>
    <row r="727" spans="1:7" ht="18">
      <c r="A727" s="317"/>
      <c r="B727" s="317"/>
      <c r="C727" s="577"/>
      <c r="D727" s="577"/>
      <c r="E727" s="577"/>
      <c r="F727" s="317"/>
      <c r="G727" s="317"/>
    </row>
    <row r="728" spans="1:7" ht="18">
      <c r="A728" s="317"/>
      <c r="B728" s="317"/>
      <c r="C728" s="577"/>
      <c r="D728" s="577"/>
      <c r="E728" s="577"/>
      <c r="F728" s="317"/>
      <c r="G728" s="317"/>
    </row>
    <row r="729" spans="1:7" ht="18">
      <c r="A729" s="317"/>
      <c r="B729" s="317"/>
      <c r="C729" s="577"/>
      <c r="D729" s="577"/>
      <c r="E729" s="577"/>
      <c r="F729" s="317"/>
      <c r="G729" s="317"/>
    </row>
    <row r="730" spans="1:7" ht="18">
      <c r="A730" s="317"/>
      <c r="B730" s="317"/>
      <c r="C730" s="577"/>
      <c r="D730" s="577"/>
      <c r="E730" s="577"/>
      <c r="F730" s="317"/>
      <c r="G730" s="317"/>
    </row>
    <row r="731" spans="1:7" ht="18">
      <c r="A731" s="317"/>
      <c r="B731" s="317"/>
      <c r="C731" s="577"/>
      <c r="D731" s="577"/>
      <c r="E731" s="577"/>
      <c r="F731" s="317"/>
      <c r="G731" s="317"/>
    </row>
    <row r="732" spans="1:7" ht="18">
      <c r="A732" s="317"/>
      <c r="B732" s="317"/>
      <c r="C732" s="577"/>
      <c r="D732" s="577"/>
      <c r="E732" s="577"/>
      <c r="F732" s="317"/>
      <c r="G732" s="317"/>
    </row>
    <row r="733" spans="1:7" ht="18">
      <c r="A733" s="317"/>
      <c r="B733" s="317"/>
      <c r="C733" s="577"/>
      <c r="D733" s="577"/>
      <c r="E733" s="577"/>
      <c r="F733" s="317"/>
      <c r="G733" s="317"/>
    </row>
    <row r="734" spans="1:7" ht="18">
      <c r="A734" s="317"/>
      <c r="B734" s="317"/>
      <c r="C734" s="577"/>
      <c r="D734" s="577"/>
      <c r="E734" s="577"/>
      <c r="F734" s="317"/>
      <c r="G734" s="317"/>
    </row>
    <row r="735" spans="1:7" ht="18">
      <c r="A735" s="317"/>
      <c r="B735" s="317"/>
      <c r="C735" s="577"/>
      <c r="D735" s="577"/>
      <c r="E735" s="577"/>
      <c r="F735" s="317"/>
      <c r="G735" s="317"/>
    </row>
    <row r="736" spans="1:7" ht="18">
      <c r="A736" s="317"/>
      <c r="B736" s="317"/>
      <c r="C736" s="577"/>
      <c r="D736" s="577"/>
      <c r="E736" s="577"/>
      <c r="F736" s="317"/>
      <c r="G736" s="317"/>
    </row>
    <row r="737" spans="1:7" ht="18">
      <c r="A737" s="317"/>
      <c r="B737" s="317"/>
      <c r="C737" s="577"/>
      <c r="D737" s="577"/>
      <c r="E737" s="577"/>
      <c r="F737" s="317"/>
      <c r="G737" s="317"/>
    </row>
    <row r="738" spans="1:7" ht="18">
      <c r="A738" s="317"/>
      <c r="B738" s="317"/>
      <c r="C738" s="577"/>
      <c r="D738" s="577"/>
      <c r="E738" s="577"/>
      <c r="F738" s="317"/>
      <c r="G738" s="317"/>
    </row>
    <row r="739" spans="1:7" ht="18">
      <c r="A739" s="317"/>
      <c r="B739" s="317"/>
      <c r="C739" s="577"/>
      <c r="D739" s="577"/>
      <c r="E739" s="577"/>
      <c r="F739" s="317"/>
      <c r="G739" s="317"/>
    </row>
    <row r="740" spans="1:7" ht="18">
      <c r="A740" s="317"/>
      <c r="B740" s="317"/>
      <c r="C740" s="577"/>
      <c r="D740" s="577"/>
      <c r="E740" s="577"/>
      <c r="F740" s="317"/>
      <c r="G740" s="317"/>
    </row>
    <row r="741" spans="1:7" ht="18">
      <c r="A741" s="317"/>
      <c r="B741" s="317"/>
      <c r="C741" s="577"/>
      <c r="D741" s="577"/>
      <c r="E741" s="577"/>
      <c r="F741" s="317"/>
      <c r="G741" s="317"/>
    </row>
    <row r="742" spans="1:7" ht="18">
      <c r="A742" s="317"/>
      <c r="B742" s="317"/>
      <c r="C742" s="577"/>
      <c r="D742" s="577"/>
      <c r="E742" s="577"/>
      <c r="F742" s="317"/>
      <c r="G742" s="317"/>
    </row>
    <row r="743" spans="1:7" ht="18">
      <c r="A743" s="317"/>
      <c r="B743" s="317"/>
      <c r="C743" s="577"/>
      <c r="D743" s="577"/>
      <c r="E743" s="577"/>
      <c r="F743" s="317"/>
      <c r="G743" s="317"/>
    </row>
    <row r="744" spans="1:7" ht="18">
      <c r="A744" s="317"/>
      <c r="B744" s="317"/>
      <c r="C744" s="577"/>
      <c r="D744" s="577"/>
      <c r="E744" s="577"/>
      <c r="F744" s="317"/>
      <c r="G744" s="317"/>
    </row>
    <row r="745" spans="1:7" ht="18">
      <c r="A745" s="317"/>
      <c r="B745" s="317"/>
      <c r="C745" s="577"/>
      <c r="D745" s="577"/>
      <c r="E745" s="577"/>
      <c r="F745" s="317"/>
      <c r="G745" s="317"/>
    </row>
    <row r="746" spans="1:7" ht="18">
      <c r="A746" s="317"/>
      <c r="B746" s="317"/>
      <c r="C746" s="577"/>
      <c r="D746" s="577"/>
      <c r="E746" s="577"/>
      <c r="F746" s="317"/>
      <c r="G746" s="317"/>
    </row>
    <row r="747" spans="1:7" ht="18">
      <c r="A747" s="317"/>
      <c r="B747" s="317"/>
      <c r="C747" s="577"/>
      <c r="D747" s="577"/>
      <c r="E747" s="577"/>
      <c r="F747" s="317"/>
      <c r="G747" s="317"/>
    </row>
    <row r="748" spans="1:7" ht="18">
      <c r="A748" s="317"/>
      <c r="B748" s="317"/>
      <c r="C748" s="577"/>
      <c r="D748" s="577"/>
      <c r="E748" s="577"/>
      <c r="F748" s="317"/>
      <c r="G748" s="317"/>
    </row>
    <row r="749" spans="1:7" ht="18">
      <c r="A749" s="317"/>
      <c r="B749" s="317"/>
      <c r="C749" s="577"/>
      <c r="D749" s="577"/>
      <c r="E749" s="577"/>
      <c r="F749" s="317"/>
      <c r="G749" s="317"/>
    </row>
    <row r="750" spans="1:7" ht="18">
      <c r="A750" s="317"/>
      <c r="B750" s="317"/>
      <c r="C750" s="577"/>
      <c r="D750" s="577"/>
      <c r="E750" s="577"/>
      <c r="F750" s="317"/>
      <c r="G750" s="317"/>
    </row>
    <row r="751" spans="1:7" ht="18">
      <c r="A751" s="317"/>
      <c r="B751" s="317"/>
      <c r="C751" s="577"/>
      <c r="D751" s="577"/>
      <c r="E751" s="577"/>
      <c r="F751" s="317"/>
      <c r="G751" s="317"/>
    </row>
    <row r="752" spans="1:7" ht="18">
      <c r="A752" s="317"/>
      <c r="B752" s="317"/>
      <c r="C752" s="577"/>
      <c r="D752" s="577"/>
      <c r="E752" s="577"/>
      <c r="F752" s="317"/>
      <c r="G752" s="317"/>
    </row>
    <row r="753" spans="1:7" ht="18">
      <c r="A753" s="317"/>
      <c r="B753" s="317"/>
      <c r="C753" s="577"/>
      <c r="D753" s="577"/>
      <c r="E753" s="577"/>
      <c r="F753" s="317"/>
      <c r="G753" s="317"/>
    </row>
    <row r="754" spans="1:7" ht="18">
      <c r="A754" s="317"/>
      <c r="B754" s="317"/>
      <c r="C754" s="577"/>
      <c r="D754" s="577"/>
      <c r="E754" s="577"/>
      <c r="F754" s="317"/>
      <c r="G754" s="317"/>
    </row>
    <row r="755" spans="1:7" ht="18">
      <c r="A755" s="317"/>
      <c r="B755" s="317"/>
      <c r="C755" s="577"/>
      <c r="D755" s="577"/>
      <c r="E755" s="577"/>
      <c r="F755" s="317"/>
      <c r="G755" s="317"/>
    </row>
    <row r="756" spans="1:7" ht="18">
      <c r="A756" s="317"/>
      <c r="B756" s="317"/>
      <c r="C756" s="577"/>
      <c r="D756" s="577"/>
      <c r="E756" s="577"/>
      <c r="F756" s="317"/>
      <c r="G756" s="317"/>
    </row>
    <row r="757" spans="1:7" ht="18">
      <c r="A757" s="317"/>
      <c r="B757" s="317"/>
      <c r="C757" s="577"/>
      <c r="D757" s="577"/>
      <c r="E757" s="577"/>
      <c r="F757" s="317"/>
      <c r="G757" s="317"/>
    </row>
    <row r="758" spans="1:7" ht="18">
      <c r="A758" s="317"/>
      <c r="B758" s="317"/>
      <c r="C758" s="577"/>
      <c r="D758" s="577"/>
      <c r="E758" s="577"/>
      <c r="F758" s="317"/>
      <c r="G758" s="317"/>
    </row>
    <row r="759" spans="1:7" ht="18">
      <c r="A759" s="317"/>
      <c r="B759" s="317"/>
      <c r="C759" s="577"/>
      <c r="D759" s="577"/>
      <c r="E759" s="577"/>
      <c r="F759" s="317"/>
      <c r="G759" s="317"/>
    </row>
    <row r="760" spans="1:7" ht="18">
      <c r="A760" s="317"/>
      <c r="B760" s="317"/>
      <c r="C760" s="577"/>
      <c r="D760" s="577"/>
      <c r="E760" s="577"/>
      <c r="F760" s="317"/>
      <c r="G760" s="317"/>
    </row>
    <row r="761" spans="1:7" ht="18">
      <c r="A761" s="317"/>
      <c r="B761" s="317"/>
      <c r="C761" s="577"/>
      <c r="D761" s="577"/>
      <c r="E761" s="577"/>
      <c r="F761" s="317"/>
      <c r="G761" s="317"/>
    </row>
    <row r="762" spans="1:7" ht="18">
      <c r="A762" s="317"/>
      <c r="B762" s="317"/>
      <c r="C762" s="577"/>
      <c r="D762" s="577"/>
      <c r="E762" s="577"/>
      <c r="F762" s="317"/>
      <c r="G762" s="317"/>
    </row>
    <row r="763" spans="1:7" ht="18">
      <c r="A763" s="317"/>
      <c r="B763" s="317"/>
      <c r="C763" s="577"/>
      <c r="D763" s="577"/>
      <c r="E763" s="577"/>
      <c r="F763" s="317"/>
      <c r="G763" s="317"/>
    </row>
    <row r="764" spans="1:7" ht="18">
      <c r="A764" s="317"/>
      <c r="B764" s="317"/>
      <c r="C764" s="577"/>
      <c r="D764" s="577"/>
      <c r="E764" s="577"/>
      <c r="F764" s="317"/>
      <c r="G764" s="317"/>
    </row>
    <row r="765" spans="1:7" ht="18">
      <c r="A765" s="317"/>
      <c r="B765" s="317"/>
      <c r="C765" s="577"/>
      <c r="D765" s="577"/>
      <c r="E765" s="577"/>
      <c r="F765" s="317"/>
      <c r="G765" s="317"/>
    </row>
    <row r="766" spans="1:7" ht="18">
      <c r="A766" s="317"/>
      <c r="B766" s="317"/>
      <c r="C766" s="577"/>
      <c r="D766" s="577"/>
      <c r="E766" s="577"/>
      <c r="F766" s="317"/>
      <c r="G766" s="317"/>
    </row>
    <row r="767" spans="1:7" ht="18">
      <c r="A767" s="317"/>
      <c r="B767" s="317"/>
      <c r="C767" s="577"/>
      <c r="D767" s="577"/>
      <c r="E767" s="577"/>
      <c r="F767" s="317"/>
      <c r="G767" s="317"/>
    </row>
    <row r="768" spans="1:7" ht="18">
      <c r="A768" s="317"/>
      <c r="B768" s="317"/>
      <c r="C768" s="577"/>
      <c r="D768" s="577"/>
      <c r="E768" s="577"/>
      <c r="F768" s="317"/>
      <c r="G768" s="317"/>
    </row>
    <row r="769" spans="1:7" ht="18">
      <c r="A769" s="317"/>
      <c r="B769" s="317"/>
      <c r="C769" s="577"/>
      <c r="D769" s="577"/>
      <c r="E769" s="577"/>
      <c r="F769" s="317"/>
      <c r="G769" s="317"/>
    </row>
    <row r="770" spans="1:7" ht="18">
      <c r="A770" s="317"/>
      <c r="B770" s="317"/>
      <c r="C770" s="577"/>
      <c r="D770" s="577"/>
      <c r="E770" s="577"/>
      <c r="F770" s="317"/>
      <c r="G770" s="317"/>
    </row>
    <row r="771" spans="1:7" ht="18">
      <c r="A771" s="317"/>
      <c r="B771" s="317"/>
      <c r="C771" s="577"/>
      <c r="D771" s="577"/>
      <c r="E771" s="577"/>
      <c r="F771" s="317"/>
      <c r="G771" s="317"/>
    </row>
    <row r="772" spans="1:7" ht="18">
      <c r="A772" s="317"/>
      <c r="B772" s="317"/>
      <c r="C772" s="577"/>
      <c r="D772" s="577"/>
      <c r="E772" s="577"/>
      <c r="F772" s="317"/>
      <c r="G772" s="317"/>
    </row>
    <row r="773" spans="1:7" ht="18">
      <c r="A773" s="317"/>
      <c r="B773" s="317"/>
      <c r="C773" s="577"/>
      <c r="D773" s="577"/>
      <c r="E773" s="577"/>
      <c r="F773" s="317"/>
      <c r="G773" s="317"/>
    </row>
    <row r="774" spans="1:7" ht="18">
      <c r="A774" s="317"/>
      <c r="B774" s="317"/>
      <c r="C774" s="577"/>
      <c r="D774" s="577"/>
      <c r="E774" s="577"/>
      <c r="F774" s="317"/>
      <c r="G774" s="317"/>
    </row>
    <row r="775" spans="1:7" ht="18">
      <c r="A775" s="317"/>
      <c r="B775" s="317"/>
      <c r="C775" s="577"/>
      <c r="D775" s="577"/>
      <c r="E775" s="577"/>
      <c r="F775" s="317"/>
      <c r="G775" s="317"/>
    </row>
    <row r="776" spans="1:7" ht="18">
      <c r="A776" s="317"/>
      <c r="B776" s="317"/>
      <c r="C776" s="577"/>
      <c r="D776" s="577"/>
      <c r="E776" s="577"/>
      <c r="F776" s="317"/>
      <c r="G776" s="317"/>
    </row>
    <row r="777" spans="1:7" ht="18">
      <c r="A777" s="317"/>
      <c r="B777" s="317"/>
      <c r="C777" s="577"/>
      <c r="D777" s="577"/>
      <c r="E777" s="577"/>
      <c r="F777" s="317"/>
      <c r="G777" s="317"/>
    </row>
    <row r="778" spans="1:7" ht="18">
      <c r="A778" s="317"/>
      <c r="B778" s="317"/>
      <c r="C778" s="577"/>
      <c r="D778" s="577"/>
      <c r="E778" s="577"/>
      <c r="F778" s="317"/>
      <c r="G778" s="317"/>
    </row>
    <row r="779" spans="1:7" ht="18">
      <c r="A779" s="317"/>
      <c r="B779" s="317"/>
      <c r="C779" s="577"/>
      <c r="D779" s="577"/>
      <c r="E779" s="577"/>
      <c r="F779" s="317"/>
      <c r="G779" s="317"/>
    </row>
    <row r="780" spans="1:7" ht="18">
      <c r="A780" s="317"/>
      <c r="B780" s="317"/>
      <c r="C780" s="577"/>
      <c r="D780" s="577"/>
      <c r="E780" s="577"/>
      <c r="F780" s="317"/>
      <c r="G780" s="317"/>
    </row>
    <row r="781" spans="1:7" ht="18">
      <c r="A781" s="317"/>
      <c r="B781" s="317"/>
      <c r="C781" s="577"/>
      <c r="D781" s="577"/>
      <c r="E781" s="577"/>
      <c r="F781" s="317"/>
      <c r="G781" s="317"/>
    </row>
    <row r="782" spans="1:7" ht="18">
      <c r="A782" s="317"/>
      <c r="B782" s="317"/>
      <c r="C782" s="577"/>
      <c r="D782" s="577"/>
      <c r="E782" s="577"/>
      <c r="F782" s="317"/>
      <c r="G782" s="317"/>
    </row>
    <row r="783" spans="1:7" ht="18">
      <c r="A783" s="317"/>
      <c r="B783" s="317"/>
      <c r="C783" s="577"/>
      <c r="D783" s="577"/>
      <c r="E783" s="577"/>
      <c r="F783" s="317"/>
      <c r="G783" s="317"/>
    </row>
    <row r="784" spans="1:7" ht="18">
      <c r="A784" s="317"/>
      <c r="B784" s="317"/>
      <c r="C784" s="577"/>
      <c r="D784" s="577"/>
      <c r="E784" s="577"/>
      <c r="F784" s="317"/>
      <c r="G784" s="317"/>
    </row>
    <row r="785" spans="1:7" ht="18">
      <c r="A785" s="317"/>
      <c r="B785" s="317"/>
      <c r="C785" s="577"/>
      <c r="D785" s="577"/>
      <c r="E785" s="577"/>
      <c r="F785" s="317"/>
      <c r="G785" s="317"/>
    </row>
    <row r="786" spans="1:7" ht="18">
      <c r="A786" s="317"/>
      <c r="B786" s="317"/>
      <c r="C786" s="577"/>
      <c r="D786" s="577"/>
      <c r="E786" s="577"/>
      <c r="F786" s="317"/>
      <c r="G786" s="317"/>
    </row>
    <row r="787" spans="1:7" ht="18">
      <c r="A787" s="317"/>
      <c r="B787" s="317"/>
      <c r="C787" s="577"/>
      <c r="D787" s="577"/>
      <c r="E787" s="577"/>
      <c r="F787" s="317"/>
      <c r="G787" s="317"/>
    </row>
    <row r="788" spans="1:7" ht="18">
      <c r="A788" s="317"/>
      <c r="B788" s="317"/>
      <c r="C788" s="577"/>
      <c r="D788" s="577"/>
      <c r="E788" s="577"/>
      <c r="F788" s="317"/>
      <c r="G788" s="317"/>
    </row>
    <row r="789" spans="1:7" ht="18">
      <c r="A789" s="317"/>
      <c r="B789" s="317"/>
      <c r="C789" s="577"/>
      <c r="D789" s="577"/>
      <c r="E789" s="577"/>
      <c r="F789" s="317"/>
      <c r="G789" s="317"/>
    </row>
    <row r="790" spans="1:7" ht="18">
      <c r="A790" s="317"/>
      <c r="B790" s="317"/>
      <c r="C790" s="577"/>
      <c r="D790" s="577"/>
      <c r="E790" s="577"/>
      <c r="F790" s="317"/>
      <c r="G790" s="317"/>
    </row>
    <row r="791" spans="1:7" ht="18">
      <c r="A791" s="317"/>
      <c r="B791" s="317"/>
      <c r="C791" s="577"/>
      <c r="D791" s="577"/>
      <c r="E791" s="577"/>
      <c r="F791" s="317"/>
      <c r="G791" s="317"/>
    </row>
    <row r="792" spans="1:7" ht="18">
      <c r="A792" s="317"/>
      <c r="B792" s="317"/>
      <c r="C792" s="577"/>
      <c r="D792" s="577"/>
      <c r="E792" s="577"/>
      <c r="F792" s="317"/>
      <c r="G792" s="317"/>
    </row>
    <row r="793" spans="1:7" ht="18">
      <c r="A793" s="317"/>
      <c r="B793" s="317"/>
      <c r="C793" s="577"/>
      <c r="D793" s="577"/>
      <c r="E793" s="577"/>
      <c r="F793" s="317"/>
      <c r="G793" s="317"/>
    </row>
    <row r="794" spans="1:7" ht="18">
      <c r="A794" s="317"/>
      <c r="B794" s="317"/>
      <c r="C794" s="577"/>
      <c r="D794" s="577"/>
      <c r="E794" s="577"/>
      <c r="F794" s="317"/>
      <c r="G794" s="317"/>
    </row>
    <row r="795" spans="1:7" ht="18">
      <c r="A795" s="317"/>
      <c r="B795" s="317"/>
      <c r="C795" s="577"/>
      <c r="D795" s="577"/>
      <c r="E795" s="577"/>
      <c r="F795" s="317"/>
      <c r="G795" s="317"/>
    </row>
    <row r="796" spans="1:7" ht="18">
      <c r="A796" s="317"/>
      <c r="B796" s="317"/>
      <c r="C796" s="577"/>
      <c r="D796" s="577"/>
      <c r="E796" s="577"/>
      <c r="F796" s="317"/>
      <c r="G796" s="317"/>
    </row>
    <row r="797" spans="1:7" ht="18">
      <c r="A797" s="317"/>
      <c r="B797" s="317"/>
      <c r="C797" s="577"/>
      <c r="D797" s="577"/>
      <c r="E797" s="577"/>
      <c r="F797" s="317"/>
      <c r="G797" s="317"/>
    </row>
    <row r="798" spans="1:7" ht="18">
      <c r="A798" s="317"/>
      <c r="B798" s="317"/>
      <c r="C798" s="577"/>
      <c r="D798" s="577"/>
      <c r="E798" s="577"/>
      <c r="F798" s="317"/>
      <c r="G798" s="317"/>
    </row>
    <row r="799" spans="1:7" ht="18">
      <c r="A799" s="317"/>
      <c r="B799" s="317"/>
      <c r="C799" s="577"/>
      <c r="D799" s="577"/>
      <c r="E799" s="577"/>
      <c r="F799" s="317"/>
      <c r="G799" s="317"/>
    </row>
    <row r="800" spans="1:7" ht="18">
      <c r="A800" s="317"/>
      <c r="B800" s="317"/>
      <c r="C800" s="577"/>
      <c r="D800" s="577"/>
      <c r="E800" s="577"/>
      <c r="F800" s="317"/>
      <c r="G800" s="317"/>
    </row>
    <row r="801" spans="1:7" ht="18">
      <c r="A801" s="317"/>
      <c r="B801" s="317"/>
      <c r="C801" s="577"/>
      <c r="D801" s="577"/>
      <c r="E801" s="577"/>
      <c r="F801" s="317"/>
      <c r="G801" s="317"/>
    </row>
    <row r="802" spans="1:7" ht="18">
      <c r="A802" s="317"/>
      <c r="B802" s="317"/>
      <c r="C802" s="577"/>
      <c r="D802" s="577"/>
      <c r="E802" s="577"/>
      <c r="F802" s="317"/>
      <c r="G802" s="317"/>
    </row>
    <row r="803" spans="1:7" ht="18">
      <c r="A803" s="317"/>
      <c r="B803" s="317"/>
      <c r="C803" s="577"/>
      <c r="D803" s="577"/>
      <c r="E803" s="577"/>
      <c r="F803" s="317"/>
      <c r="G803" s="317"/>
    </row>
    <row r="804" spans="1:7" ht="18">
      <c r="A804" s="317"/>
      <c r="B804" s="317"/>
      <c r="C804" s="577"/>
      <c r="D804" s="577"/>
      <c r="E804" s="577"/>
      <c r="F804" s="317"/>
      <c r="G804" s="317"/>
    </row>
    <row r="805" spans="1:7" ht="18">
      <c r="A805" s="317"/>
      <c r="B805" s="317"/>
      <c r="C805" s="577"/>
      <c r="D805" s="577"/>
      <c r="E805" s="577"/>
      <c r="F805" s="317"/>
      <c r="G805" s="317"/>
    </row>
    <row r="806" spans="1:7" ht="18">
      <c r="A806" s="317"/>
      <c r="B806" s="317"/>
      <c r="C806" s="577"/>
      <c r="D806" s="577"/>
      <c r="E806" s="577"/>
      <c r="F806" s="317"/>
      <c r="G806" s="317"/>
    </row>
    <row r="807" spans="1:7" ht="18">
      <c r="A807" s="317"/>
      <c r="B807" s="317"/>
      <c r="C807" s="577"/>
      <c r="D807" s="577"/>
      <c r="E807" s="577"/>
      <c r="F807" s="317"/>
      <c r="G807" s="317"/>
    </row>
    <row r="808" spans="1:7" ht="18">
      <c r="A808" s="317"/>
      <c r="B808" s="317"/>
      <c r="C808" s="577"/>
      <c r="D808" s="577"/>
      <c r="E808" s="577"/>
      <c r="F808" s="317"/>
      <c r="G808" s="317"/>
    </row>
    <row r="809" spans="1:7" ht="18">
      <c r="A809" s="317"/>
      <c r="B809" s="317"/>
      <c r="C809" s="577"/>
      <c r="D809" s="577"/>
      <c r="E809" s="577"/>
      <c r="F809" s="317"/>
      <c r="G809" s="317"/>
    </row>
    <row r="810" spans="1:7" ht="18">
      <c r="A810" s="317"/>
      <c r="B810" s="317"/>
      <c r="C810" s="577"/>
      <c r="D810" s="577"/>
      <c r="E810" s="577"/>
      <c r="F810" s="317"/>
      <c r="G810" s="317"/>
    </row>
    <row r="811" spans="1:7" ht="18">
      <c r="A811" s="317"/>
      <c r="B811" s="317"/>
      <c r="C811" s="577"/>
      <c r="D811" s="577"/>
      <c r="E811" s="577"/>
      <c r="F811" s="317"/>
      <c r="G811" s="317"/>
    </row>
    <row r="812" spans="1:7" ht="18">
      <c r="A812" s="317"/>
      <c r="B812" s="317"/>
      <c r="C812" s="577"/>
      <c r="D812" s="577"/>
      <c r="E812" s="577"/>
      <c r="F812" s="317"/>
      <c r="G812" s="317"/>
    </row>
    <row r="813" spans="1:7" ht="18">
      <c r="A813" s="317"/>
      <c r="B813" s="317"/>
      <c r="C813" s="577"/>
      <c r="D813" s="577"/>
      <c r="E813" s="577"/>
      <c r="F813" s="317"/>
      <c r="G813" s="317"/>
    </row>
    <row r="814" spans="1:7" ht="18">
      <c r="A814" s="317"/>
      <c r="B814" s="317"/>
      <c r="C814" s="577"/>
      <c r="D814" s="577"/>
      <c r="E814" s="577"/>
      <c r="F814" s="317"/>
      <c r="G814" s="317"/>
    </row>
    <row r="815" spans="1:7" ht="18">
      <c r="A815" s="317"/>
      <c r="B815" s="317"/>
      <c r="C815" s="577"/>
      <c r="D815" s="577"/>
      <c r="E815" s="577"/>
      <c r="F815" s="317"/>
      <c r="G815" s="317"/>
    </row>
    <row r="816" spans="1:7" ht="18">
      <c r="A816" s="317"/>
      <c r="B816" s="317"/>
      <c r="C816" s="577"/>
      <c r="D816" s="577"/>
      <c r="E816" s="577"/>
      <c r="F816" s="317"/>
      <c r="G816" s="317"/>
    </row>
    <row r="817" spans="1:7" ht="18">
      <c r="A817" s="317"/>
      <c r="B817" s="317"/>
      <c r="C817" s="577"/>
      <c r="D817" s="577"/>
      <c r="E817" s="577"/>
      <c r="F817" s="317"/>
      <c r="G817" s="317"/>
    </row>
    <row r="818" spans="1:7" ht="18">
      <c r="A818" s="317"/>
      <c r="B818" s="317"/>
      <c r="C818" s="577"/>
      <c r="D818" s="577"/>
      <c r="E818" s="577"/>
      <c r="F818" s="317"/>
      <c r="G818" s="317"/>
    </row>
    <row r="819" spans="1:7" ht="18">
      <c r="A819" s="317"/>
      <c r="B819" s="317"/>
      <c r="C819" s="577"/>
      <c r="D819" s="577"/>
      <c r="E819" s="577"/>
      <c r="F819" s="317"/>
      <c r="G819" s="317"/>
    </row>
    <row r="820" spans="1:7" ht="18">
      <c r="A820" s="317"/>
      <c r="B820" s="317"/>
      <c r="C820" s="577"/>
      <c r="D820" s="577"/>
      <c r="E820" s="577"/>
      <c r="F820" s="317"/>
      <c r="G820" s="317"/>
    </row>
    <row r="821" spans="1:7" ht="18">
      <c r="A821" s="317"/>
      <c r="B821" s="317"/>
      <c r="C821" s="577"/>
      <c r="D821" s="577"/>
      <c r="E821" s="577"/>
      <c r="F821" s="317"/>
      <c r="G821" s="317"/>
    </row>
    <row r="822" spans="1:7" ht="18">
      <c r="A822" s="317"/>
      <c r="B822" s="317"/>
      <c r="C822" s="577"/>
      <c r="D822" s="577"/>
      <c r="E822" s="577"/>
      <c r="F822" s="317"/>
      <c r="G822" s="317"/>
    </row>
    <row r="823" spans="1:7" ht="18">
      <c r="A823" s="317"/>
      <c r="B823" s="317"/>
      <c r="C823" s="577"/>
      <c r="D823" s="577"/>
      <c r="E823" s="577"/>
      <c r="F823" s="317"/>
      <c r="G823" s="317"/>
    </row>
    <row r="824" spans="1:7" ht="18">
      <c r="A824" s="317"/>
      <c r="B824" s="317"/>
      <c r="C824" s="577"/>
      <c r="D824" s="577"/>
      <c r="E824" s="577"/>
      <c r="F824" s="317"/>
      <c r="G824" s="317"/>
    </row>
    <row r="825" spans="1:7" ht="18">
      <c r="A825" s="317"/>
      <c r="B825" s="317"/>
      <c r="C825" s="577"/>
      <c r="D825" s="577"/>
      <c r="E825" s="577"/>
      <c r="F825" s="317"/>
      <c r="G825" s="317"/>
    </row>
    <row r="826" spans="1:7" ht="18">
      <c r="A826" s="317"/>
      <c r="B826" s="317"/>
      <c r="C826" s="577"/>
      <c r="D826" s="577"/>
      <c r="E826" s="577"/>
      <c r="F826" s="317"/>
      <c r="G826" s="317"/>
    </row>
    <row r="827" spans="1:7" ht="18">
      <c r="A827" s="317"/>
      <c r="B827" s="317"/>
      <c r="C827" s="577"/>
      <c r="D827" s="577"/>
      <c r="E827" s="577"/>
      <c r="F827" s="317"/>
      <c r="G827" s="317"/>
    </row>
    <row r="828" spans="1:7" ht="18">
      <c r="A828" s="317"/>
      <c r="B828" s="317"/>
      <c r="C828" s="577"/>
      <c r="D828" s="577"/>
      <c r="E828" s="577"/>
      <c r="F828" s="317"/>
      <c r="G828" s="317"/>
    </row>
    <row r="829" spans="1:7" ht="18">
      <c r="A829" s="317"/>
      <c r="B829" s="317"/>
      <c r="C829" s="577"/>
      <c r="D829" s="577"/>
      <c r="E829" s="577"/>
      <c r="F829" s="317"/>
      <c r="G829" s="317"/>
    </row>
    <row r="830" spans="1:7" ht="18">
      <c r="A830" s="317"/>
      <c r="B830" s="317"/>
      <c r="C830" s="577"/>
      <c r="D830" s="577"/>
      <c r="E830" s="577"/>
      <c r="F830" s="317"/>
      <c r="G830" s="317"/>
    </row>
    <row r="831" spans="1:7" ht="18">
      <c r="A831" s="317"/>
      <c r="B831" s="317"/>
      <c r="C831" s="577"/>
      <c r="D831" s="577"/>
      <c r="E831" s="577"/>
      <c r="F831" s="317"/>
      <c r="G831" s="317"/>
    </row>
    <row r="832" spans="1:7" ht="18">
      <c r="A832" s="317"/>
      <c r="B832" s="317"/>
      <c r="C832" s="577"/>
      <c r="D832" s="577"/>
      <c r="E832" s="577"/>
      <c r="F832" s="317"/>
      <c r="G832" s="317"/>
    </row>
    <row r="833" spans="1:7" ht="18">
      <c r="A833" s="317"/>
      <c r="B833" s="317"/>
      <c r="C833" s="577"/>
      <c r="D833" s="577"/>
      <c r="E833" s="577"/>
      <c r="F833" s="317"/>
      <c r="G833" s="317"/>
    </row>
    <row r="834" spans="1:7" ht="18">
      <c r="A834" s="317"/>
      <c r="B834" s="317"/>
      <c r="C834" s="577"/>
      <c r="D834" s="577"/>
      <c r="E834" s="577"/>
      <c r="F834" s="317"/>
      <c r="G834" s="317"/>
    </row>
    <row r="835" spans="1:7" ht="18">
      <c r="A835" s="317"/>
      <c r="B835" s="317"/>
      <c r="C835" s="577"/>
      <c r="D835" s="577"/>
      <c r="E835" s="577"/>
      <c r="F835" s="317"/>
      <c r="G835" s="317"/>
    </row>
    <row r="836" spans="1:7" ht="18">
      <c r="A836" s="317"/>
      <c r="B836" s="317"/>
      <c r="C836" s="577"/>
      <c r="D836" s="577"/>
      <c r="E836" s="577"/>
      <c r="F836" s="317"/>
      <c r="G836" s="317"/>
    </row>
    <row r="837" spans="1:7" ht="18">
      <c r="A837" s="317"/>
      <c r="B837" s="317"/>
      <c r="C837" s="577"/>
      <c r="D837" s="577"/>
      <c r="E837" s="577"/>
      <c r="F837" s="317"/>
      <c r="G837" s="317"/>
    </row>
    <row r="838" spans="1:7" ht="18">
      <c r="A838" s="317"/>
      <c r="B838" s="317"/>
      <c r="C838" s="577"/>
      <c r="D838" s="577"/>
      <c r="E838" s="577"/>
      <c r="F838" s="317"/>
      <c r="G838" s="317"/>
    </row>
    <row r="839" spans="1:7" ht="18">
      <c r="A839" s="317"/>
      <c r="B839" s="317"/>
      <c r="C839" s="577"/>
      <c r="D839" s="577"/>
      <c r="E839" s="577"/>
      <c r="F839" s="317"/>
      <c r="G839" s="317"/>
    </row>
    <row r="840" spans="1:7" ht="18">
      <c r="A840" s="317"/>
      <c r="B840" s="317"/>
      <c r="C840" s="577"/>
      <c r="D840" s="577"/>
      <c r="E840" s="577"/>
      <c r="F840" s="317"/>
      <c r="G840" s="317"/>
    </row>
    <row r="841" spans="1:7" ht="18">
      <c r="A841" s="317"/>
      <c r="B841" s="317"/>
      <c r="C841" s="577"/>
      <c r="D841" s="577"/>
      <c r="E841" s="577"/>
      <c r="F841" s="317"/>
      <c r="G841" s="317"/>
    </row>
    <row r="842" spans="1:7" ht="18">
      <c r="A842" s="317"/>
      <c r="B842" s="317"/>
      <c r="C842" s="577"/>
      <c r="D842" s="577"/>
      <c r="E842" s="577"/>
      <c r="F842" s="317"/>
      <c r="G842" s="317"/>
    </row>
    <row r="843" spans="1:7" ht="18">
      <c r="A843" s="317"/>
      <c r="B843" s="317"/>
      <c r="C843" s="577"/>
      <c r="D843" s="577"/>
      <c r="E843" s="577"/>
      <c r="F843" s="317"/>
      <c r="G843" s="317"/>
    </row>
    <row r="844" spans="1:7" ht="18">
      <c r="A844" s="317"/>
      <c r="B844" s="317"/>
      <c r="C844" s="577"/>
      <c r="D844" s="577"/>
      <c r="E844" s="577"/>
      <c r="F844" s="317"/>
      <c r="G844" s="317"/>
    </row>
    <row r="845" spans="1:7" ht="18">
      <c r="A845" s="317"/>
      <c r="B845" s="317"/>
      <c r="C845" s="577"/>
      <c r="D845" s="577"/>
      <c r="E845" s="577"/>
      <c r="F845" s="317"/>
      <c r="G845" s="317"/>
    </row>
    <row r="846" spans="1:7" ht="18">
      <c r="A846" s="317"/>
      <c r="B846" s="317"/>
      <c r="C846" s="577"/>
      <c r="D846" s="577"/>
      <c r="E846" s="577"/>
      <c r="F846" s="317"/>
      <c r="G846" s="317"/>
    </row>
    <row r="847" spans="1:7" ht="18">
      <c r="A847" s="317"/>
      <c r="B847" s="317"/>
      <c r="C847" s="577"/>
      <c r="D847" s="577"/>
      <c r="E847" s="577"/>
      <c r="F847" s="317"/>
      <c r="G847" s="317"/>
    </row>
    <row r="848" spans="1:7" ht="18">
      <c r="A848" s="317"/>
      <c r="B848" s="317"/>
      <c r="C848" s="577"/>
      <c r="D848" s="577"/>
      <c r="E848" s="577"/>
      <c r="F848" s="317"/>
      <c r="G848" s="317"/>
    </row>
    <row r="849" spans="1:7" ht="18">
      <c r="A849" s="317"/>
      <c r="B849" s="317"/>
      <c r="C849" s="577"/>
      <c r="D849" s="577"/>
      <c r="E849" s="577"/>
      <c r="F849" s="317"/>
      <c r="G849" s="317"/>
    </row>
    <row r="850" spans="1:7" ht="18">
      <c r="A850" s="317"/>
      <c r="B850" s="317"/>
      <c r="C850" s="577"/>
      <c r="D850" s="577"/>
      <c r="E850" s="577"/>
      <c r="F850" s="317"/>
      <c r="G850" s="317"/>
    </row>
    <row r="851" spans="1:7" ht="18">
      <c r="A851" s="317"/>
      <c r="B851" s="317"/>
      <c r="C851" s="577"/>
      <c r="D851" s="577"/>
      <c r="E851" s="577"/>
      <c r="F851" s="317"/>
      <c r="G851" s="317"/>
    </row>
    <row r="852" spans="1:7" ht="18">
      <c r="A852" s="317"/>
      <c r="B852" s="317"/>
      <c r="C852" s="577"/>
      <c r="D852" s="577"/>
      <c r="E852" s="577"/>
      <c r="F852" s="317"/>
      <c r="G852" s="317"/>
    </row>
    <row r="853" spans="1:7" ht="18">
      <c r="A853" s="317"/>
      <c r="B853" s="317"/>
      <c r="C853" s="577"/>
      <c r="D853" s="577"/>
      <c r="E853" s="577"/>
      <c r="F853" s="317"/>
      <c r="G853" s="317"/>
    </row>
    <row r="854" spans="1:7" ht="18">
      <c r="A854" s="317"/>
      <c r="B854" s="317"/>
      <c r="C854" s="577"/>
      <c r="D854" s="577"/>
      <c r="E854" s="577"/>
      <c r="F854" s="317"/>
      <c r="G854" s="317"/>
    </row>
    <row r="855" spans="1:7" ht="18">
      <c r="A855" s="317"/>
      <c r="B855" s="317"/>
      <c r="C855" s="577"/>
      <c r="D855" s="577"/>
      <c r="E855" s="577"/>
      <c r="F855" s="317"/>
      <c r="G855" s="317"/>
    </row>
    <row r="856" spans="1:7" ht="18">
      <c r="A856" s="317"/>
      <c r="B856" s="317"/>
      <c r="C856" s="577"/>
      <c r="D856" s="577"/>
      <c r="E856" s="577"/>
      <c r="F856" s="317"/>
      <c r="G856" s="317"/>
    </row>
    <row r="857" spans="1:7" ht="18">
      <c r="A857" s="317"/>
      <c r="B857" s="317"/>
      <c r="C857" s="577"/>
      <c r="D857" s="577"/>
      <c r="E857" s="577"/>
      <c r="F857" s="317"/>
      <c r="G857" s="317"/>
    </row>
    <row r="858" spans="1:7" ht="18">
      <c r="A858" s="317"/>
      <c r="B858" s="317"/>
      <c r="C858" s="577"/>
      <c r="D858" s="577"/>
      <c r="E858" s="577"/>
      <c r="F858" s="317"/>
      <c r="G858" s="317"/>
    </row>
    <row r="859" spans="1:7" ht="18">
      <c r="A859" s="317"/>
      <c r="B859" s="317"/>
      <c r="C859" s="577"/>
      <c r="D859" s="577"/>
      <c r="E859" s="577"/>
      <c r="F859" s="317"/>
      <c r="G859" s="317"/>
    </row>
    <row r="860" spans="1:7" ht="18">
      <c r="A860" s="317"/>
      <c r="B860" s="317"/>
      <c r="C860" s="577"/>
      <c r="D860" s="577"/>
      <c r="E860" s="577"/>
      <c r="F860" s="317"/>
      <c r="G860" s="317"/>
    </row>
    <row r="861" spans="1:7" ht="18">
      <c r="A861" s="317"/>
      <c r="B861" s="317"/>
      <c r="C861" s="577"/>
      <c r="D861" s="577"/>
      <c r="E861" s="577"/>
      <c r="F861" s="317"/>
      <c r="G861" s="317"/>
    </row>
    <row r="862" spans="1:7" ht="18">
      <c r="A862" s="317"/>
      <c r="B862" s="317"/>
      <c r="C862" s="577"/>
      <c r="D862" s="577"/>
      <c r="E862" s="577"/>
      <c r="F862" s="317"/>
      <c r="G862" s="317"/>
    </row>
    <row r="863" spans="1:7" ht="18">
      <c r="A863" s="317"/>
      <c r="B863" s="317"/>
      <c r="C863" s="577"/>
      <c r="D863" s="577"/>
      <c r="E863" s="577"/>
      <c r="F863" s="317"/>
      <c r="G863" s="317"/>
    </row>
    <row r="864" spans="1:7" ht="18">
      <c r="A864" s="317"/>
      <c r="B864" s="317"/>
      <c r="C864" s="577"/>
      <c r="D864" s="577"/>
      <c r="E864" s="577"/>
      <c r="F864" s="317"/>
      <c r="G864" s="317"/>
    </row>
    <row r="865" spans="1:7" ht="18">
      <c r="A865" s="317"/>
      <c r="B865" s="317"/>
      <c r="C865" s="577"/>
      <c r="D865" s="577"/>
      <c r="E865" s="577"/>
      <c r="F865" s="317"/>
      <c r="G865" s="317"/>
    </row>
    <row r="866" spans="1:7" ht="18">
      <c r="A866" s="317"/>
      <c r="B866" s="317"/>
      <c r="C866" s="577"/>
      <c r="D866" s="577"/>
      <c r="E866" s="577"/>
      <c r="F866" s="317"/>
      <c r="G866" s="317"/>
    </row>
    <row r="867" spans="1:7" ht="18">
      <c r="A867" s="317"/>
      <c r="B867" s="317"/>
      <c r="C867" s="577"/>
      <c r="D867" s="577"/>
      <c r="E867" s="577"/>
      <c r="F867" s="317"/>
      <c r="G867" s="317"/>
    </row>
    <row r="868" spans="1:7" ht="18">
      <c r="A868" s="317"/>
      <c r="B868" s="317"/>
      <c r="C868" s="577"/>
      <c r="D868" s="577"/>
      <c r="E868" s="577"/>
      <c r="F868" s="317"/>
      <c r="G868" s="317"/>
    </row>
    <row r="869" spans="1:7" ht="18">
      <c r="A869" s="317"/>
      <c r="B869" s="317"/>
      <c r="C869" s="577"/>
      <c r="D869" s="577"/>
      <c r="E869" s="577"/>
      <c r="F869" s="317"/>
      <c r="G869" s="317"/>
    </row>
    <row r="870" spans="1:7" ht="18">
      <c r="A870" s="317"/>
      <c r="B870" s="317"/>
      <c r="C870" s="577"/>
      <c r="D870" s="577"/>
      <c r="E870" s="577"/>
      <c r="F870" s="317"/>
      <c r="G870" s="317"/>
    </row>
    <row r="871" spans="1:7" ht="18">
      <c r="A871" s="317"/>
      <c r="B871" s="317"/>
      <c r="C871" s="577"/>
      <c r="D871" s="577"/>
      <c r="E871" s="577"/>
      <c r="F871" s="317"/>
      <c r="G871" s="317"/>
    </row>
    <row r="872" spans="1:7" ht="18">
      <c r="A872" s="317"/>
      <c r="B872" s="317"/>
      <c r="C872" s="577"/>
      <c r="D872" s="577"/>
      <c r="E872" s="577"/>
      <c r="F872" s="317"/>
      <c r="G872" s="317"/>
    </row>
    <row r="873" spans="1:7" ht="18">
      <c r="A873" s="317"/>
      <c r="B873" s="317"/>
      <c r="C873" s="577"/>
      <c r="D873" s="577"/>
      <c r="E873" s="577"/>
      <c r="F873" s="317"/>
      <c r="G873" s="317"/>
    </row>
    <row r="874" spans="1:7" ht="18">
      <c r="A874" s="317"/>
      <c r="B874" s="317"/>
      <c r="C874" s="577"/>
      <c r="D874" s="577"/>
      <c r="E874" s="577"/>
      <c r="F874" s="317"/>
      <c r="G874" s="317"/>
    </row>
    <row r="875" spans="1:7" ht="18">
      <c r="A875" s="317"/>
      <c r="B875" s="317"/>
      <c r="C875" s="577"/>
      <c r="D875" s="577"/>
      <c r="E875" s="577"/>
      <c r="F875" s="317"/>
      <c r="G875" s="317"/>
    </row>
    <row r="876" spans="1:7" ht="18">
      <c r="A876" s="317"/>
      <c r="B876" s="317"/>
      <c r="C876" s="577"/>
      <c r="D876" s="577"/>
      <c r="E876" s="577"/>
      <c r="F876" s="317"/>
      <c r="G876" s="317"/>
    </row>
    <row r="877" spans="1:7" ht="18">
      <c r="A877" s="317"/>
      <c r="B877" s="317"/>
      <c r="C877" s="577"/>
      <c r="D877" s="577"/>
      <c r="E877" s="577"/>
      <c r="F877" s="317"/>
      <c r="G877" s="317"/>
    </row>
    <row r="878" spans="1:7" ht="18">
      <c r="A878" s="317"/>
      <c r="B878" s="317"/>
      <c r="C878" s="577"/>
      <c r="D878" s="577"/>
      <c r="E878" s="577"/>
      <c r="F878" s="317"/>
      <c r="G878" s="317"/>
    </row>
    <row r="879" spans="1:7" ht="18">
      <c r="A879" s="317"/>
      <c r="B879" s="317"/>
      <c r="C879" s="577"/>
      <c r="D879" s="577"/>
      <c r="E879" s="577"/>
      <c r="F879" s="317"/>
      <c r="G879" s="317"/>
    </row>
    <row r="880" spans="1:7" ht="18">
      <c r="A880" s="317"/>
      <c r="B880" s="317"/>
      <c r="C880" s="577"/>
      <c r="D880" s="577"/>
      <c r="E880" s="577"/>
      <c r="F880" s="317"/>
      <c r="G880" s="317"/>
    </row>
    <row r="881" spans="1:7" ht="18">
      <c r="A881" s="317"/>
      <c r="B881" s="317"/>
      <c r="C881" s="577"/>
      <c r="D881" s="577"/>
      <c r="E881" s="577"/>
      <c r="F881" s="317"/>
      <c r="G881" s="317"/>
    </row>
    <row r="882" spans="1:7" ht="18">
      <c r="A882" s="317"/>
      <c r="B882" s="317"/>
      <c r="C882" s="577"/>
      <c r="D882" s="577"/>
      <c r="E882" s="577"/>
      <c r="F882" s="317"/>
      <c r="G882" s="317"/>
    </row>
    <row r="883" spans="1:7" ht="18">
      <c r="A883" s="317"/>
      <c r="B883" s="317"/>
      <c r="C883" s="577"/>
      <c r="D883" s="577"/>
      <c r="E883" s="577"/>
      <c r="F883" s="317"/>
      <c r="G883" s="317"/>
    </row>
    <row r="884" spans="1:7" ht="18">
      <c r="A884" s="317"/>
      <c r="B884" s="317"/>
      <c r="C884" s="577"/>
      <c r="D884" s="577"/>
      <c r="E884" s="577"/>
      <c r="F884" s="317"/>
      <c r="G884" s="317"/>
    </row>
    <row r="885" spans="1:7" ht="18">
      <c r="A885" s="317"/>
      <c r="B885" s="317"/>
      <c r="C885" s="577"/>
      <c r="D885" s="577"/>
      <c r="E885" s="577"/>
      <c r="F885" s="317"/>
      <c r="G885" s="317"/>
    </row>
    <row r="886" spans="1:7" ht="18">
      <c r="A886" s="317"/>
      <c r="B886" s="317"/>
      <c r="C886" s="577"/>
      <c r="D886" s="577"/>
      <c r="E886" s="577"/>
      <c r="F886" s="317"/>
      <c r="G886" s="317"/>
    </row>
    <row r="887" spans="1:7" ht="18">
      <c r="A887" s="317"/>
      <c r="B887" s="317"/>
      <c r="C887" s="577"/>
      <c r="D887" s="577"/>
      <c r="E887" s="577"/>
      <c r="F887" s="317"/>
      <c r="G887" s="317"/>
    </row>
    <row r="888" spans="1:7" ht="18">
      <c r="A888" s="317"/>
      <c r="B888" s="317"/>
      <c r="C888" s="577"/>
      <c r="D888" s="577"/>
      <c r="E888" s="577"/>
      <c r="F888" s="317"/>
      <c r="G888" s="317"/>
    </row>
    <row r="889" spans="1:7" ht="18">
      <c r="A889" s="317"/>
      <c r="B889" s="317"/>
      <c r="C889" s="577"/>
      <c r="D889" s="577"/>
      <c r="E889" s="577"/>
      <c r="F889" s="317"/>
      <c r="G889" s="317"/>
    </row>
    <row r="890" spans="1:7" ht="18">
      <c r="A890" s="317"/>
      <c r="B890" s="317"/>
      <c r="C890" s="577"/>
      <c r="D890" s="577"/>
      <c r="E890" s="577"/>
      <c r="F890" s="317"/>
      <c r="G890" s="317"/>
    </row>
    <row r="891" spans="1:7" ht="18">
      <c r="A891" s="317"/>
      <c r="B891" s="317"/>
      <c r="C891" s="577"/>
      <c r="D891" s="577"/>
      <c r="E891" s="577"/>
      <c r="F891" s="317"/>
      <c r="G891" s="317"/>
    </row>
    <row r="892" spans="1:7" ht="18">
      <c r="A892" s="317"/>
      <c r="B892" s="317"/>
      <c r="C892" s="577"/>
      <c r="D892" s="577"/>
      <c r="E892" s="577"/>
      <c r="F892" s="317"/>
      <c r="G892" s="317"/>
    </row>
    <row r="893" spans="1:7" ht="18">
      <c r="A893" s="317"/>
      <c r="B893" s="317"/>
      <c r="C893" s="577"/>
      <c r="D893" s="577"/>
      <c r="E893" s="577"/>
      <c r="F893" s="317"/>
      <c r="G893" s="317"/>
    </row>
    <row r="894" spans="1:7" ht="18">
      <c r="A894" s="317"/>
      <c r="B894" s="317"/>
      <c r="C894" s="577"/>
      <c r="D894" s="577"/>
      <c r="E894" s="577"/>
      <c r="F894" s="317"/>
      <c r="G894" s="317"/>
    </row>
    <row r="895" spans="1:7" ht="18">
      <c r="A895" s="317"/>
      <c r="B895" s="317"/>
      <c r="C895" s="577"/>
      <c r="D895" s="577"/>
      <c r="E895" s="577"/>
      <c r="F895" s="317"/>
      <c r="G895" s="317"/>
    </row>
    <row r="896" spans="1:7" ht="18">
      <c r="A896" s="317"/>
      <c r="B896" s="317"/>
      <c r="C896" s="577"/>
      <c r="D896" s="577"/>
      <c r="E896" s="577"/>
      <c r="F896" s="317"/>
      <c r="G896" s="317"/>
    </row>
    <row r="897" spans="1:7" ht="18">
      <c r="A897" s="317"/>
      <c r="B897" s="317"/>
      <c r="C897" s="577"/>
      <c r="D897" s="577"/>
      <c r="E897" s="577"/>
      <c r="F897" s="317"/>
      <c r="G897" s="317"/>
    </row>
    <row r="898" spans="1:7" ht="18">
      <c r="A898" s="317"/>
      <c r="B898" s="317"/>
      <c r="C898" s="577"/>
      <c r="D898" s="577"/>
      <c r="E898" s="577"/>
      <c r="F898" s="317"/>
      <c r="G898" s="317"/>
    </row>
    <row r="899" spans="1:7" ht="18">
      <c r="A899" s="317"/>
      <c r="B899" s="317"/>
      <c r="C899" s="577"/>
      <c r="D899" s="577"/>
      <c r="E899" s="577"/>
      <c r="F899" s="317"/>
      <c r="G899" s="317"/>
    </row>
    <row r="900" spans="1:7" ht="18">
      <c r="A900" s="317"/>
      <c r="B900" s="317"/>
      <c r="C900" s="577"/>
      <c r="D900" s="577"/>
      <c r="E900" s="577"/>
      <c r="F900" s="317"/>
      <c r="G900" s="317"/>
    </row>
    <row r="901" spans="1:7" ht="18">
      <c r="A901" s="317"/>
      <c r="B901" s="317"/>
      <c r="C901" s="577"/>
      <c r="D901" s="577"/>
      <c r="E901" s="577"/>
      <c r="F901" s="317"/>
      <c r="G901" s="317"/>
    </row>
    <row r="902" spans="1:7" ht="18">
      <c r="A902" s="317"/>
      <c r="B902" s="317"/>
      <c r="C902" s="577"/>
      <c r="D902" s="577"/>
      <c r="E902" s="577"/>
      <c r="F902" s="317"/>
      <c r="G902" s="317"/>
    </row>
    <row r="903" spans="1:7" ht="18">
      <c r="A903" s="317"/>
      <c r="B903" s="317"/>
      <c r="C903" s="577"/>
      <c r="D903" s="577"/>
      <c r="E903" s="577"/>
      <c r="F903" s="317"/>
      <c r="G903" s="317"/>
    </row>
    <row r="904" spans="1:7" ht="18">
      <c r="A904" s="317"/>
      <c r="B904" s="317"/>
      <c r="C904" s="577"/>
      <c r="D904" s="577"/>
      <c r="E904" s="577"/>
      <c r="F904" s="317"/>
      <c r="G904" s="317"/>
    </row>
    <row r="905" spans="1:7" ht="18">
      <c r="A905" s="317"/>
      <c r="B905" s="317"/>
      <c r="C905" s="577"/>
      <c r="D905" s="577"/>
      <c r="E905" s="577"/>
      <c r="F905" s="317"/>
      <c r="G905" s="317"/>
    </row>
    <row r="906" spans="1:7" ht="18">
      <c r="A906" s="317"/>
      <c r="B906" s="317"/>
      <c r="C906" s="577"/>
      <c r="D906" s="577"/>
      <c r="E906" s="577"/>
      <c r="F906" s="317"/>
      <c r="G906" s="317"/>
    </row>
    <row r="907" spans="1:7" ht="18">
      <c r="A907" s="317"/>
      <c r="B907" s="317"/>
      <c r="C907" s="577"/>
      <c r="D907" s="577"/>
      <c r="E907" s="577"/>
      <c r="F907" s="317"/>
      <c r="G907" s="317"/>
    </row>
    <row r="908" spans="1:7" ht="18">
      <c r="A908" s="317"/>
      <c r="B908" s="317"/>
      <c r="C908" s="577"/>
      <c r="D908" s="577"/>
      <c r="E908" s="577"/>
      <c r="F908" s="317"/>
      <c r="G908" s="317"/>
    </row>
    <row r="909" spans="1:7" ht="18">
      <c r="A909" s="317"/>
      <c r="B909" s="317"/>
      <c r="C909" s="577"/>
      <c r="D909" s="577"/>
      <c r="E909" s="577"/>
      <c r="F909" s="317"/>
      <c r="G909" s="317"/>
    </row>
    <row r="910" spans="1:7" ht="18">
      <c r="A910" s="317"/>
      <c r="B910" s="317"/>
      <c r="C910" s="577"/>
      <c r="D910" s="577"/>
      <c r="E910" s="577"/>
      <c r="F910" s="317"/>
      <c r="G910" s="317"/>
    </row>
    <row r="911" spans="1:7" ht="18">
      <c r="A911" s="317"/>
      <c r="B911" s="317"/>
      <c r="C911" s="577"/>
      <c r="D911" s="577"/>
      <c r="E911" s="577"/>
      <c r="F911" s="317"/>
      <c r="G911" s="317"/>
    </row>
    <row r="912" spans="1:7" ht="18">
      <c r="A912" s="317"/>
      <c r="B912" s="317"/>
      <c r="C912" s="577"/>
      <c r="D912" s="577"/>
      <c r="E912" s="577"/>
      <c r="F912" s="317"/>
      <c r="G912" s="317"/>
    </row>
    <row r="913" spans="1:7" ht="18">
      <c r="A913" s="317"/>
      <c r="B913" s="317"/>
      <c r="C913" s="577"/>
      <c r="D913" s="577"/>
      <c r="E913" s="577"/>
      <c r="F913" s="317"/>
      <c r="G913" s="317"/>
    </row>
    <row r="914" spans="1:7" ht="18">
      <c r="A914" s="317"/>
      <c r="B914" s="317"/>
      <c r="C914" s="577"/>
      <c r="D914" s="577"/>
      <c r="E914" s="577"/>
      <c r="F914" s="317"/>
      <c r="G914" s="317"/>
    </row>
    <row r="915" spans="1:7" ht="18">
      <c r="A915" s="317"/>
      <c r="B915" s="317"/>
      <c r="C915" s="577"/>
      <c r="D915" s="577"/>
      <c r="E915" s="577"/>
      <c r="F915" s="317"/>
      <c r="G915" s="317"/>
    </row>
    <row r="916" spans="1:7" ht="18">
      <c r="A916" s="317"/>
      <c r="B916" s="317"/>
      <c r="C916" s="577"/>
      <c r="D916" s="577"/>
      <c r="E916" s="577"/>
      <c r="F916" s="317"/>
      <c r="G916" s="317"/>
    </row>
    <row r="917" spans="1:7" ht="18">
      <c r="A917" s="317"/>
      <c r="B917" s="317"/>
      <c r="C917" s="577"/>
      <c r="D917" s="577"/>
      <c r="E917" s="577"/>
      <c r="F917" s="317"/>
      <c r="G917" s="317"/>
    </row>
    <row r="918" spans="1:7" ht="18">
      <c r="A918" s="317"/>
      <c r="B918" s="317"/>
      <c r="C918" s="577"/>
      <c r="D918" s="577"/>
      <c r="E918" s="577"/>
      <c r="F918" s="317"/>
      <c r="G918" s="317"/>
    </row>
    <row r="919" spans="1:7" ht="18">
      <c r="A919" s="317"/>
      <c r="B919" s="317"/>
      <c r="C919" s="577"/>
      <c r="D919" s="577"/>
      <c r="E919" s="577"/>
      <c r="F919" s="317"/>
      <c r="G919" s="317"/>
    </row>
    <row r="920" spans="1:7" ht="18">
      <c r="A920" s="317"/>
      <c r="B920" s="317"/>
      <c r="C920" s="577"/>
      <c r="D920" s="577"/>
      <c r="E920" s="577"/>
      <c r="F920" s="317"/>
      <c r="G920" s="317"/>
    </row>
    <row r="921" spans="1:7" ht="18">
      <c r="A921" s="317"/>
      <c r="B921" s="317"/>
      <c r="C921" s="577"/>
      <c r="D921" s="577"/>
      <c r="E921" s="577"/>
      <c r="F921" s="317"/>
      <c r="G921" s="317"/>
    </row>
    <row r="922" spans="1:7" ht="18">
      <c r="A922" s="317"/>
      <c r="B922" s="317"/>
      <c r="C922" s="577"/>
      <c r="D922" s="577"/>
      <c r="E922" s="577"/>
      <c r="F922" s="317"/>
      <c r="G922" s="317"/>
    </row>
    <row r="923" spans="1:7" ht="18">
      <c r="A923" s="317"/>
      <c r="B923" s="317"/>
      <c r="C923" s="577"/>
      <c r="D923" s="577"/>
      <c r="E923" s="577"/>
      <c r="F923" s="317"/>
      <c r="G923" s="317"/>
    </row>
    <row r="924" spans="1:7" ht="18">
      <c r="A924" s="317"/>
      <c r="B924" s="317"/>
      <c r="C924" s="577"/>
      <c r="D924" s="577"/>
      <c r="E924" s="577"/>
      <c r="F924" s="317"/>
      <c r="G924" s="317"/>
    </row>
    <row r="925" spans="1:7" ht="18">
      <c r="A925" s="317"/>
      <c r="B925" s="317"/>
      <c r="C925" s="577"/>
      <c r="D925" s="577"/>
      <c r="E925" s="577"/>
      <c r="F925" s="317"/>
      <c r="G925" s="317"/>
    </row>
    <row r="926" spans="1:7" ht="18">
      <c r="A926" s="317"/>
      <c r="B926" s="317"/>
      <c r="C926" s="577"/>
      <c r="D926" s="577"/>
      <c r="E926" s="577"/>
      <c r="F926" s="317"/>
      <c r="G926" s="317"/>
    </row>
    <row r="927" spans="1:7" ht="18">
      <c r="A927" s="317"/>
      <c r="B927" s="317"/>
      <c r="C927" s="577"/>
      <c r="D927" s="577"/>
      <c r="E927" s="577"/>
      <c r="F927" s="317"/>
      <c r="G927" s="317"/>
    </row>
    <row r="928" spans="1:7" ht="18">
      <c r="A928" s="317"/>
      <c r="B928" s="317"/>
      <c r="C928" s="577"/>
      <c r="D928" s="577"/>
      <c r="E928" s="577"/>
      <c r="F928" s="317"/>
      <c r="G928" s="317"/>
    </row>
    <row r="929" spans="1:7" ht="18">
      <c r="A929" s="317"/>
      <c r="B929" s="317"/>
      <c r="C929" s="577"/>
      <c r="D929" s="577"/>
      <c r="E929" s="577"/>
      <c r="F929" s="317"/>
      <c r="G929" s="317"/>
    </row>
    <row r="930" spans="1:7" ht="18">
      <c r="A930" s="317"/>
      <c r="B930" s="317"/>
      <c r="C930" s="577"/>
      <c r="D930" s="577"/>
      <c r="E930" s="577"/>
      <c r="F930" s="317"/>
      <c r="G930" s="317"/>
    </row>
    <row r="931" spans="1:7" ht="18">
      <c r="A931" s="317"/>
      <c r="B931" s="317"/>
      <c r="C931" s="577"/>
      <c r="D931" s="577"/>
      <c r="E931" s="577"/>
      <c r="F931" s="317"/>
      <c r="G931" s="317"/>
    </row>
    <row r="932" spans="1:7" ht="18">
      <c r="A932" s="317"/>
      <c r="B932" s="317"/>
      <c r="C932" s="577"/>
      <c r="D932" s="577"/>
      <c r="E932" s="577"/>
      <c r="F932" s="317"/>
      <c r="G932" s="317"/>
    </row>
    <row r="933" spans="1:7" ht="18">
      <c r="A933" s="317"/>
      <c r="B933" s="317"/>
      <c r="C933" s="577"/>
      <c r="D933" s="577"/>
      <c r="E933" s="577"/>
      <c r="F933" s="317"/>
      <c r="G933" s="317"/>
    </row>
    <row r="934" spans="1:7" ht="18">
      <c r="A934" s="317"/>
      <c r="B934" s="317"/>
      <c r="C934" s="577"/>
      <c r="D934" s="577"/>
      <c r="E934" s="577"/>
      <c r="F934" s="317"/>
      <c r="G934" s="317"/>
    </row>
    <row r="935" spans="1:7" ht="18">
      <c r="A935" s="317"/>
      <c r="B935" s="317"/>
      <c r="C935" s="577"/>
      <c r="D935" s="577"/>
      <c r="E935" s="577"/>
      <c r="F935" s="317"/>
      <c r="G935" s="317"/>
    </row>
    <row r="936" spans="1:7" ht="18">
      <c r="A936" s="317"/>
      <c r="B936" s="317"/>
      <c r="C936" s="577"/>
      <c r="D936" s="577"/>
      <c r="E936" s="577"/>
      <c r="F936" s="317"/>
      <c r="G936" s="317"/>
    </row>
    <row r="937" spans="1:7" ht="18">
      <c r="A937" s="317"/>
      <c r="B937" s="317"/>
      <c r="C937" s="577"/>
      <c r="D937" s="577"/>
      <c r="E937" s="577"/>
      <c r="F937" s="317"/>
      <c r="G937" s="317"/>
    </row>
    <row r="938" spans="1:7" ht="18">
      <c r="A938" s="317"/>
      <c r="B938" s="317"/>
      <c r="C938" s="577"/>
      <c r="D938" s="577"/>
      <c r="E938" s="577"/>
      <c r="F938" s="317"/>
      <c r="G938" s="317"/>
    </row>
    <row r="939" spans="1:7" ht="18">
      <c r="A939" s="317"/>
      <c r="B939" s="317"/>
      <c r="C939" s="577"/>
      <c r="D939" s="577"/>
      <c r="E939" s="577"/>
      <c r="F939" s="317"/>
      <c r="G939" s="317"/>
    </row>
    <row r="940" spans="1:7" ht="18">
      <c r="A940" s="317"/>
      <c r="B940" s="317"/>
      <c r="C940" s="577"/>
      <c r="D940" s="577"/>
      <c r="E940" s="577"/>
      <c r="F940" s="317"/>
      <c r="G940" s="317"/>
    </row>
    <row r="941" spans="1:7" ht="18">
      <c r="A941" s="317"/>
      <c r="B941" s="317"/>
      <c r="C941" s="577"/>
      <c r="D941" s="577"/>
      <c r="E941" s="577"/>
      <c r="F941" s="317"/>
      <c r="G941" s="317"/>
    </row>
    <row r="942" spans="1:7" ht="18">
      <c r="A942" s="317"/>
      <c r="B942" s="317"/>
      <c r="C942" s="577"/>
      <c r="D942" s="577"/>
      <c r="E942" s="577"/>
      <c r="F942" s="317"/>
      <c r="G942" s="317"/>
    </row>
    <row r="943" spans="1:7" ht="18">
      <c r="A943" s="317"/>
      <c r="B943" s="317"/>
      <c r="C943" s="577"/>
      <c r="D943" s="577"/>
      <c r="E943" s="577"/>
      <c r="F943" s="317"/>
      <c r="G943" s="317"/>
    </row>
    <row r="944" spans="1:7" ht="18">
      <c r="A944" s="317"/>
      <c r="B944" s="317"/>
      <c r="C944" s="577"/>
      <c r="D944" s="577"/>
      <c r="E944" s="577"/>
      <c r="F944" s="317"/>
      <c r="G944" s="317"/>
    </row>
    <row r="945" spans="1:7" ht="18">
      <c r="A945" s="317"/>
      <c r="B945" s="317"/>
      <c r="C945" s="577"/>
      <c r="D945" s="577"/>
      <c r="E945" s="577"/>
      <c r="F945" s="317"/>
      <c r="G945" s="317"/>
    </row>
    <row r="946" spans="1:7" ht="18">
      <c r="A946" s="317"/>
      <c r="B946" s="317"/>
      <c r="C946" s="577"/>
      <c r="D946" s="577"/>
      <c r="E946" s="577"/>
      <c r="F946" s="317"/>
      <c r="G946" s="317"/>
    </row>
    <row r="947" spans="1:7" ht="18">
      <c r="A947" s="317"/>
      <c r="B947" s="317"/>
      <c r="C947" s="577"/>
      <c r="D947" s="577"/>
      <c r="E947" s="577"/>
      <c r="F947" s="317"/>
      <c r="G947" s="317"/>
    </row>
    <row r="948" spans="1:7" ht="18">
      <c r="A948" s="317"/>
      <c r="B948" s="317"/>
      <c r="C948" s="577"/>
      <c r="D948" s="577"/>
      <c r="E948" s="577"/>
      <c r="F948" s="317"/>
      <c r="G948" s="317"/>
    </row>
    <row r="949" spans="1:7" ht="18">
      <c r="A949" s="317"/>
      <c r="B949" s="317"/>
      <c r="C949" s="577"/>
      <c r="D949" s="577"/>
      <c r="E949" s="577"/>
      <c r="F949" s="317"/>
      <c r="G949" s="317"/>
    </row>
    <row r="950" spans="1:7" ht="18">
      <c r="A950" s="317"/>
      <c r="B950" s="317"/>
      <c r="C950" s="577"/>
      <c r="D950" s="577"/>
      <c r="E950" s="577"/>
      <c r="F950" s="317"/>
      <c r="G950" s="317"/>
    </row>
    <row r="951" spans="1:7" ht="18">
      <c r="A951" s="317"/>
      <c r="B951" s="317"/>
      <c r="C951" s="577"/>
      <c r="D951" s="577"/>
      <c r="E951" s="577"/>
      <c r="F951" s="317"/>
      <c r="G951" s="317"/>
    </row>
    <row r="952" spans="1:7" ht="18">
      <c r="A952" s="317"/>
      <c r="B952" s="317"/>
      <c r="C952" s="577"/>
      <c r="D952" s="577"/>
      <c r="E952" s="577"/>
      <c r="F952" s="317"/>
      <c r="G952" s="317"/>
    </row>
    <row r="953" spans="1:7" ht="18">
      <c r="A953" s="317"/>
      <c r="B953" s="317"/>
      <c r="C953" s="577"/>
      <c r="D953" s="577"/>
      <c r="E953" s="577"/>
      <c r="F953" s="317"/>
      <c r="G953" s="317"/>
    </row>
    <row r="954" spans="1:7" ht="18">
      <c r="A954" s="317"/>
      <c r="B954" s="317"/>
      <c r="C954" s="577"/>
      <c r="D954" s="577"/>
      <c r="E954" s="577"/>
      <c r="F954" s="317"/>
      <c r="G954" s="317"/>
    </row>
    <row r="955" spans="1:7" ht="18">
      <c r="A955" s="317"/>
      <c r="B955" s="317"/>
      <c r="C955" s="577"/>
      <c r="D955" s="577"/>
      <c r="E955" s="577"/>
      <c r="F955" s="317"/>
      <c r="G955" s="317"/>
    </row>
    <row r="956" spans="1:7" ht="18">
      <c r="A956" s="317"/>
      <c r="B956" s="317"/>
      <c r="C956" s="577"/>
      <c r="D956" s="577"/>
      <c r="E956" s="577"/>
      <c r="F956" s="317"/>
      <c r="G956" s="317"/>
    </row>
    <row r="957" spans="1:7" ht="18">
      <c r="A957" s="317"/>
      <c r="B957" s="317"/>
      <c r="C957" s="577"/>
      <c r="D957" s="577"/>
      <c r="E957" s="577"/>
      <c r="F957" s="317"/>
      <c r="G957" s="317"/>
    </row>
    <row r="958" spans="1:7" ht="18">
      <c r="A958" s="317"/>
      <c r="B958" s="317"/>
      <c r="C958" s="577"/>
      <c r="D958" s="577"/>
      <c r="E958" s="577"/>
      <c r="F958" s="317"/>
      <c r="G958" s="317"/>
    </row>
    <row r="959" spans="1:7" ht="18">
      <c r="A959" s="317"/>
      <c r="B959" s="317"/>
      <c r="C959" s="577"/>
      <c r="D959" s="577"/>
      <c r="E959" s="577"/>
      <c r="F959" s="317"/>
      <c r="G959" s="317"/>
    </row>
    <row r="960" spans="1:7" ht="18">
      <c r="A960" s="317"/>
      <c r="B960" s="317"/>
      <c r="C960" s="577"/>
      <c r="D960" s="577"/>
      <c r="E960" s="577"/>
      <c r="F960" s="317"/>
      <c r="G960" s="317"/>
    </row>
    <row r="961" spans="1:7" ht="18">
      <c r="A961" s="317"/>
      <c r="B961" s="317"/>
      <c r="C961" s="577"/>
      <c r="D961" s="577"/>
      <c r="E961" s="577"/>
      <c r="F961" s="317"/>
      <c r="G961" s="317"/>
    </row>
    <row r="962" spans="1:7" ht="18">
      <c r="A962" s="317"/>
      <c r="B962" s="317"/>
      <c r="C962" s="577"/>
      <c r="D962" s="577"/>
      <c r="E962" s="577"/>
      <c r="F962" s="317"/>
      <c r="G962" s="317"/>
    </row>
    <row r="963" spans="1:7" ht="18">
      <c r="A963" s="317"/>
      <c r="B963" s="317"/>
      <c r="C963" s="577"/>
      <c r="D963" s="577"/>
      <c r="E963" s="577"/>
      <c r="F963" s="317"/>
      <c r="G963" s="317"/>
    </row>
    <row r="964" spans="1:7" ht="18">
      <c r="A964" s="317"/>
      <c r="B964" s="317"/>
      <c r="C964" s="577"/>
      <c r="D964" s="577"/>
      <c r="E964" s="577"/>
      <c r="F964" s="317"/>
      <c r="G964" s="317"/>
    </row>
    <row r="965" spans="1:7" ht="18">
      <c r="A965" s="317"/>
      <c r="B965" s="317"/>
      <c r="C965" s="577"/>
      <c r="D965" s="577"/>
      <c r="E965" s="577"/>
      <c r="F965" s="317"/>
      <c r="G965" s="317"/>
    </row>
    <row r="966" spans="1:7" ht="18">
      <c r="A966" s="317"/>
      <c r="B966" s="317"/>
      <c r="C966" s="577"/>
      <c r="D966" s="577"/>
      <c r="E966" s="577"/>
      <c r="F966" s="317"/>
      <c r="G966" s="317"/>
    </row>
    <row r="967" spans="1:7" ht="18">
      <c r="A967" s="317"/>
      <c r="B967" s="317"/>
      <c r="C967" s="577"/>
      <c r="D967" s="577"/>
      <c r="E967" s="577"/>
      <c r="F967" s="317"/>
      <c r="G967" s="317"/>
    </row>
    <row r="968" spans="1:7" ht="18">
      <c r="A968" s="317"/>
      <c r="B968" s="317"/>
      <c r="C968" s="577"/>
      <c r="D968" s="577"/>
      <c r="E968" s="577"/>
      <c r="F968" s="317"/>
      <c r="G968" s="317"/>
    </row>
    <row r="969" spans="1:7" ht="18">
      <c r="A969" s="317"/>
      <c r="B969" s="317"/>
      <c r="C969" s="577"/>
      <c r="D969" s="577"/>
      <c r="E969" s="577"/>
      <c r="F969" s="317"/>
      <c r="G969" s="317"/>
    </row>
    <row r="970" spans="1:7" ht="18">
      <c r="A970" s="317"/>
      <c r="B970" s="317"/>
      <c r="C970" s="577"/>
      <c r="D970" s="577"/>
      <c r="E970" s="577"/>
      <c r="F970" s="317"/>
      <c r="G970" s="317"/>
    </row>
    <row r="971" spans="1:7" ht="18">
      <c r="A971" s="317"/>
      <c r="B971" s="317"/>
      <c r="C971" s="577"/>
      <c r="D971" s="577"/>
      <c r="E971" s="577"/>
      <c r="F971" s="317"/>
      <c r="G971" s="317"/>
    </row>
    <row r="972" spans="1:7" ht="18">
      <c r="A972" s="317"/>
      <c r="B972" s="317"/>
      <c r="C972" s="577"/>
      <c r="D972" s="577"/>
      <c r="E972" s="577"/>
      <c r="F972" s="317"/>
      <c r="G972" s="317"/>
    </row>
    <row r="973" spans="1:7" ht="18">
      <c r="A973" s="317"/>
      <c r="B973" s="317"/>
      <c r="C973" s="577"/>
      <c r="D973" s="577"/>
      <c r="E973" s="577"/>
      <c r="F973" s="317"/>
      <c r="G973" s="317"/>
    </row>
    <row r="974" spans="1:7" ht="18">
      <c r="A974" s="317"/>
      <c r="B974" s="317"/>
      <c r="C974" s="577"/>
      <c r="D974" s="577"/>
      <c r="E974" s="577"/>
      <c r="F974" s="317"/>
      <c r="G974" s="317"/>
    </row>
    <row r="975" spans="1:7" ht="18">
      <c r="A975" s="317"/>
      <c r="B975" s="317"/>
      <c r="C975" s="577"/>
      <c r="D975" s="577"/>
      <c r="E975" s="577"/>
      <c r="F975" s="317"/>
      <c r="G975" s="317"/>
    </row>
    <row r="976" spans="1:7" ht="18">
      <c r="A976" s="317"/>
      <c r="B976" s="317"/>
      <c r="C976" s="577"/>
      <c r="D976" s="577"/>
      <c r="E976" s="577"/>
      <c r="F976" s="317"/>
      <c r="G976" s="317"/>
    </row>
    <row r="977" spans="1:7" ht="18">
      <c r="A977" s="317"/>
      <c r="B977" s="317"/>
      <c r="C977" s="577"/>
      <c r="D977" s="577"/>
      <c r="E977" s="577"/>
      <c r="F977" s="317"/>
      <c r="G977" s="317"/>
    </row>
    <row r="978" spans="1:7" ht="18">
      <c r="A978" s="317"/>
      <c r="B978" s="317"/>
      <c r="C978" s="577"/>
      <c r="D978" s="577"/>
      <c r="E978" s="577"/>
      <c r="F978" s="317"/>
      <c r="G978" s="317"/>
    </row>
    <row r="979" spans="1:7" ht="18">
      <c r="A979" s="317"/>
      <c r="B979" s="317"/>
      <c r="C979" s="577"/>
      <c r="D979" s="577"/>
      <c r="E979" s="577"/>
      <c r="F979" s="317"/>
      <c r="G979" s="317"/>
    </row>
    <row r="980" spans="1:7" ht="18">
      <c r="A980" s="317"/>
      <c r="B980" s="317"/>
      <c r="C980" s="577"/>
      <c r="D980" s="577"/>
      <c r="E980" s="577"/>
      <c r="F980" s="317"/>
      <c r="G980" s="317"/>
    </row>
    <row r="981" spans="1:7" ht="18">
      <c r="A981" s="317"/>
      <c r="B981" s="317"/>
      <c r="C981" s="577"/>
      <c r="D981" s="577"/>
      <c r="E981" s="577"/>
      <c r="F981" s="317"/>
      <c r="G981" s="317"/>
    </row>
    <row r="982" spans="1:7" ht="18">
      <c r="A982" s="317"/>
      <c r="B982" s="317"/>
      <c r="C982" s="577"/>
      <c r="D982" s="577"/>
      <c r="E982" s="577"/>
      <c r="F982" s="317"/>
      <c r="G982" s="317"/>
    </row>
    <row r="983" spans="1:7" ht="18">
      <c r="A983" s="317"/>
      <c r="B983" s="317"/>
      <c r="C983" s="577"/>
      <c r="D983" s="577"/>
      <c r="E983" s="577"/>
      <c r="F983" s="317"/>
      <c r="G983" s="317"/>
    </row>
    <row r="984" spans="1:7" ht="18">
      <c r="A984" s="317"/>
      <c r="B984" s="317"/>
      <c r="C984" s="577"/>
      <c r="D984" s="577"/>
      <c r="E984" s="577"/>
      <c r="F984" s="317"/>
      <c r="G984" s="317"/>
    </row>
    <row r="985" spans="1:7" ht="18">
      <c r="A985" s="317"/>
      <c r="B985" s="317"/>
      <c r="C985" s="577"/>
      <c r="D985" s="577"/>
      <c r="E985" s="577"/>
      <c r="F985" s="317"/>
      <c r="G985" s="317"/>
    </row>
    <row r="986" spans="1:7" ht="18">
      <c r="A986" s="317"/>
      <c r="B986" s="317"/>
      <c r="C986" s="577"/>
      <c r="D986" s="577"/>
      <c r="E986" s="577"/>
      <c r="F986" s="317"/>
      <c r="G986" s="317"/>
    </row>
    <row r="987" spans="1:7" ht="18">
      <c r="A987" s="317"/>
      <c r="B987" s="317"/>
      <c r="C987" s="577"/>
      <c r="D987" s="577"/>
      <c r="E987" s="577"/>
      <c r="F987" s="317"/>
      <c r="G987" s="317"/>
    </row>
    <row r="988" spans="1:7" ht="18">
      <c r="A988" s="317"/>
      <c r="B988" s="317"/>
      <c r="C988" s="577"/>
      <c r="D988" s="577"/>
      <c r="E988" s="577"/>
      <c r="F988" s="317"/>
      <c r="G988" s="317"/>
    </row>
    <row r="989" spans="1:7" ht="18">
      <c r="A989" s="317"/>
      <c r="B989" s="317"/>
      <c r="C989" s="577"/>
      <c r="D989" s="577"/>
      <c r="E989" s="577"/>
      <c r="F989" s="317"/>
      <c r="G989" s="317"/>
    </row>
    <row r="990" spans="1:7" ht="18">
      <c r="A990" s="317"/>
      <c r="B990" s="317"/>
      <c r="C990" s="577"/>
      <c r="D990" s="577"/>
      <c r="E990" s="577"/>
      <c r="F990" s="317"/>
      <c r="G990" s="317"/>
    </row>
    <row r="991" spans="1:7" ht="18">
      <c r="A991" s="317"/>
      <c r="B991" s="317"/>
      <c r="C991" s="577"/>
      <c r="D991" s="577"/>
      <c r="E991" s="577"/>
      <c r="F991" s="317"/>
      <c r="G991" s="317"/>
    </row>
    <row r="992" spans="1:7" ht="18">
      <c r="A992" s="317"/>
      <c r="B992" s="317"/>
      <c r="C992" s="577"/>
      <c r="D992" s="577"/>
      <c r="E992" s="577"/>
      <c r="F992" s="317"/>
      <c r="G992" s="317"/>
    </row>
    <row r="993" spans="1:7" ht="18">
      <c r="A993" s="317"/>
      <c r="B993" s="317"/>
      <c r="C993" s="577"/>
      <c r="D993" s="577"/>
      <c r="E993" s="577"/>
      <c r="F993" s="317"/>
      <c r="G993" s="317"/>
    </row>
    <row r="994" spans="1:7" ht="18">
      <c r="A994" s="317"/>
      <c r="B994" s="317"/>
      <c r="C994" s="577"/>
      <c r="D994" s="577"/>
      <c r="E994" s="577"/>
      <c r="F994" s="317"/>
      <c r="G994" s="317"/>
    </row>
    <row r="995" spans="1:7" ht="18">
      <c r="A995" s="317"/>
      <c r="B995" s="317"/>
      <c r="C995" s="577"/>
      <c r="D995" s="577"/>
      <c r="E995" s="577"/>
      <c r="F995" s="317"/>
      <c r="G995" s="317"/>
    </row>
    <row r="996" spans="1:7" ht="18">
      <c r="A996" s="317"/>
      <c r="B996" s="317"/>
      <c r="C996" s="577"/>
      <c r="D996" s="577"/>
      <c r="E996" s="577"/>
      <c r="F996" s="317"/>
      <c r="G996" s="317"/>
    </row>
    <row r="997" spans="1:7" ht="18">
      <c r="A997" s="317"/>
      <c r="B997" s="317"/>
      <c r="C997" s="577"/>
      <c r="D997" s="577"/>
      <c r="E997" s="577"/>
      <c r="F997" s="317"/>
      <c r="G997" s="317"/>
    </row>
    <row r="998" spans="1:7" ht="18">
      <c r="A998" s="317"/>
      <c r="B998" s="317"/>
      <c r="C998" s="577"/>
      <c r="D998" s="577"/>
      <c r="E998" s="577"/>
      <c r="F998" s="317"/>
      <c r="G998" s="317"/>
    </row>
  </sheetData>
  <sheetProtection algorithmName="SHA-512" hashValue="Xsi0LwbYlm362DZCjxjrfTVKJB0pGPR7ptMqN9XoT4/Zk0hGj/T6kpssPz71co1tVbQOPiS4gYCahLKRNIJrTQ==" saltValue="Q3LLmjz4sIE21vn1+n0yyg==" spinCount="100000" sheet="1" objects="1" scenarios="1"/>
  <mergeCells count="13">
    <mergeCell ref="B67:D67"/>
    <mergeCell ref="F67:G67"/>
    <mergeCell ref="B68:D68"/>
    <mergeCell ref="F68:G68"/>
    <mergeCell ref="A71:G71"/>
    <mergeCell ref="A2:G2"/>
    <mergeCell ref="A3:G3"/>
    <mergeCell ref="A6:A8"/>
    <mergeCell ref="B6:B8"/>
    <mergeCell ref="C6:C8"/>
    <mergeCell ref="D6:F6"/>
    <mergeCell ref="G6:G8"/>
    <mergeCell ref="F7:F8"/>
  </mergeCells>
  <conditionalFormatting sqref="C18">
    <cfRule type="cellIs" dxfId="17" priority="10" operator="lessThan">
      <formula>0</formula>
    </cfRule>
  </conditionalFormatting>
  <conditionalFormatting sqref="C32:C33 C35:C41">
    <cfRule type="cellIs" dxfId="16" priority="13" operator="lessThan">
      <formula>0</formula>
    </cfRule>
  </conditionalFormatting>
  <conditionalFormatting sqref="C43:D54">
    <cfRule type="cellIs" dxfId="15" priority="3" operator="lessThan">
      <formula>0</formula>
    </cfRule>
  </conditionalFormatting>
  <conditionalFormatting sqref="C22:F22">
    <cfRule type="cellIs" dxfId="14" priority="4" operator="lessThan">
      <formula>0</formula>
    </cfRule>
  </conditionalFormatting>
  <conditionalFormatting sqref="C29:F29">
    <cfRule type="cellIs" dxfId="13" priority="5" operator="lessThan">
      <formula>0</formula>
    </cfRule>
  </conditionalFormatting>
  <conditionalFormatting sqref="C55:F57">
    <cfRule type="cellIs" dxfId="12" priority="7" operator="lessThan">
      <formula>0</formula>
    </cfRule>
  </conditionalFormatting>
  <conditionalFormatting sqref="C42:G42">
    <cfRule type="cellIs" dxfId="11" priority="9" operator="lessThan">
      <formula>0</formula>
    </cfRule>
  </conditionalFormatting>
  <conditionalFormatting sqref="D17:D20">
    <cfRule type="cellIs" dxfId="10" priority="11" operator="lessThan">
      <formula>0</formula>
    </cfRule>
  </conditionalFormatting>
  <conditionalFormatting sqref="D41">
    <cfRule type="cellIs" dxfId="9" priority="6" operator="lessThan">
      <formula>0</formula>
    </cfRule>
  </conditionalFormatting>
  <conditionalFormatting sqref="D38:E40">
    <cfRule type="cellIs" dxfId="8" priority="12" operator="lessThan">
      <formula>0</formula>
    </cfRule>
  </conditionalFormatting>
  <conditionalFormatting sqref="G38">
    <cfRule type="cellIs" dxfId="7" priority="2" operator="lessThan">
      <formula>0</formula>
    </cfRule>
  </conditionalFormatting>
  <conditionalFormatting sqref="G40">
    <cfRule type="cellIs" dxfId="6" priority="1" operator="lessThan">
      <formula>0</formula>
    </cfRule>
  </conditionalFormatting>
  <conditionalFormatting sqref="G56:G57">
    <cfRule type="cellIs" dxfId="5" priority="8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A98F7-F155-4582-B827-54DE5ACE7146}">
  <dimension ref="A1:L993"/>
  <sheetViews>
    <sheetView topLeftCell="A37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10" width="8.85546875" style="314"/>
    <col min="11" max="11" width="10.28515625" style="314" bestFit="1" customWidth="1"/>
    <col min="12" max="12" width="11.28515625" style="314" bestFit="1" customWidth="1"/>
    <col min="13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7" t="s">
        <v>681</v>
      </c>
      <c r="B5" s="317"/>
      <c r="C5" s="317"/>
      <c r="D5" s="318"/>
      <c r="E5" s="317"/>
      <c r="F5" s="317"/>
      <c r="G5" s="317"/>
    </row>
    <row r="6" spans="1:7" ht="16.5" thickTop="1" thickBot="1">
      <c r="A6" s="1261" t="s">
        <v>16</v>
      </c>
      <c r="B6" s="1261" t="s">
        <v>17</v>
      </c>
      <c r="C6" s="1262" t="s">
        <v>580</v>
      </c>
      <c r="D6" s="1263" t="s">
        <v>603</v>
      </c>
      <c r="E6" s="1242"/>
      <c r="F6" s="1243"/>
      <c r="G6" s="1228" t="s">
        <v>556</v>
      </c>
    </row>
    <row r="7" spans="1:7" ht="35.25" thickTop="1">
      <c r="A7" s="1234"/>
      <c r="B7" s="1234"/>
      <c r="C7" s="1234"/>
      <c r="D7" s="525" t="s">
        <v>21</v>
      </c>
      <c r="E7" s="525" t="s">
        <v>22</v>
      </c>
      <c r="F7" s="1261" t="s">
        <v>23</v>
      </c>
      <c r="G7" s="1234"/>
    </row>
    <row r="8" spans="1:7" ht="18">
      <c r="A8" s="1234"/>
      <c r="B8" s="1234"/>
      <c r="C8" s="1234"/>
      <c r="D8" s="526" t="s">
        <v>24</v>
      </c>
      <c r="E8" s="526" t="s">
        <v>25</v>
      </c>
      <c r="F8" s="1234"/>
      <c r="G8" s="1234"/>
    </row>
    <row r="9" spans="1:7" ht="18.75" thickBot="1">
      <c r="A9" s="527" t="s">
        <v>26</v>
      </c>
      <c r="B9" s="527" t="s">
        <v>27</v>
      </c>
      <c r="C9" s="528" t="s">
        <v>28</v>
      </c>
      <c r="D9" s="528" t="s">
        <v>29</v>
      </c>
      <c r="E9" s="528" t="s">
        <v>30</v>
      </c>
      <c r="F9" s="527" t="s">
        <v>31</v>
      </c>
      <c r="G9" s="527" t="s">
        <v>32</v>
      </c>
    </row>
    <row r="10" spans="1:7" ht="18.75" thickTop="1">
      <c r="A10" s="324" t="s">
        <v>33</v>
      </c>
      <c r="B10" s="325"/>
      <c r="C10" s="326"/>
      <c r="D10" s="326"/>
      <c r="E10" s="326"/>
      <c r="F10" s="326"/>
      <c r="G10" s="380"/>
    </row>
    <row r="11" spans="1:7" ht="18">
      <c r="A11" s="328" t="s">
        <v>34</v>
      </c>
      <c r="B11" s="329"/>
      <c r="C11" s="330"/>
      <c r="D11" s="330"/>
      <c r="E11" s="330"/>
      <c r="F11" s="330"/>
      <c r="G11" s="381"/>
    </row>
    <row r="12" spans="1:7" ht="18">
      <c r="A12" s="333" t="s">
        <v>35</v>
      </c>
      <c r="B12" s="334"/>
      <c r="C12" s="335"/>
      <c r="D12" s="335"/>
      <c r="E12" s="335"/>
      <c r="F12" s="335"/>
      <c r="G12" s="383"/>
    </row>
    <row r="13" spans="1:7" ht="18">
      <c r="A13" s="359" t="s">
        <v>36</v>
      </c>
      <c r="B13" s="360" t="s">
        <v>37</v>
      </c>
      <c r="C13" s="179">
        <v>835182.24</v>
      </c>
      <c r="D13" s="179">
        <v>569773.5</v>
      </c>
      <c r="E13" s="179">
        <f t="shared" ref="E13:E14" si="0">F13-D13</f>
        <v>611230.5</v>
      </c>
      <c r="F13" s="182">
        <v>1181004</v>
      </c>
      <c r="G13" s="182">
        <v>1260623</v>
      </c>
    </row>
    <row r="14" spans="1:7" ht="18">
      <c r="A14" s="359" t="s">
        <v>38</v>
      </c>
      <c r="B14" s="360" t="s">
        <v>39</v>
      </c>
      <c r="C14" s="179">
        <v>156000</v>
      </c>
      <c r="D14" s="179">
        <v>78000</v>
      </c>
      <c r="E14" s="179">
        <f t="shared" si="0"/>
        <v>78000</v>
      </c>
      <c r="F14" s="182">
        <v>156000</v>
      </c>
      <c r="G14" s="182">
        <v>165015</v>
      </c>
    </row>
    <row r="15" spans="1:7" ht="18">
      <c r="A15" s="333" t="s">
        <v>40</v>
      </c>
      <c r="B15" s="360"/>
      <c r="C15" s="179"/>
      <c r="D15" s="179"/>
      <c r="E15" s="179"/>
      <c r="F15" s="182"/>
      <c r="G15" s="182"/>
    </row>
    <row r="16" spans="1:7" ht="18">
      <c r="A16" s="359" t="s">
        <v>41</v>
      </c>
      <c r="B16" s="360" t="s">
        <v>42</v>
      </c>
      <c r="C16" s="179">
        <v>107000.05</v>
      </c>
      <c r="D16" s="179">
        <v>69000</v>
      </c>
      <c r="E16" s="179">
        <f t="shared" ref="E16:E17" si="1">F16-D16</f>
        <v>75000</v>
      </c>
      <c r="F16" s="182">
        <v>144000</v>
      </c>
      <c r="G16" s="182">
        <v>144000</v>
      </c>
    </row>
    <row r="17" spans="1:7" ht="18">
      <c r="A17" s="359" t="s">
        <v>47</v>
      </c>
      <c r="B17" s="360" t="s">
        <v>48</v>
      </c>
      <c r="C17" s="179">
        <v>30000</v>
      </c>
      <c r="D17" s="264">
        <v>36000</v>
      </c>
      <c r="E17" s="179">
        <f t="shared" si="1"/>
        <v>0</v>
      </c>
      <c r="F17" s="182">
        <v>36000</v>
      </c>
      <c r="G17" s="182">
        <v>42000</v>
      </c>
    </row>
    <row r="18" spans="1:7" ht="18">
      <c r="A18" s="359" t="s">
        <v>49</v>
      </c>
      <c r="B18" s="360" t="s">
        <v>50</v>
      </c>
      <c r="C18" s="180">
        <v>30000</v>
      </c>
      <c r="D18" s="180">
        <v>0</v>
      </c>
      <c r="E18" s="179">
        <v>30000</v>
      </c>
      <c r="F18" s="182">
        <v>30000</v>
      </c>
      <c r="G18" s="182">
        <v>30000</v>
      </c>
    </row>
    <row r="19" spans="1:7" ht="18">
      <c r="A19" s="359" t="s">
        <v>53</v>
      </c>
      <c r="B19" s="360" t="s">
        <v>54</v>
      </c>
      <c r="C19" s="179">
        <v>87037.8</v>
      </c>
      <c r="D19" s="264">
        <v>0</v>
      </c>
      <c r="E19" s="179">
        <f t="shared" ref="E19:E21" si="2">F19-D19</f>
        <v>111417</v>
      </c>
      <c r="F19" s="182">
        <v>111417</v>
      </c>
      <c r="G19" s="182">
        <v>121896</v>
      </c>
    </row>
    <row r="20" spans="1:7" ht="18">
      <c r="A20" s="359" t="s">
        <v>55</v>
      </c>
      <c r="B20" s="360" t="s">
        <v>56</v>
      </c>
      <c r="C20" s="179">
        <v>24000</v>
      </c>
      <c r="D20" s="264">
        <v>0</v>
      </c>
      <c r="E20" s="179">
        <f t="shared" si="2"/>
        <v>30000</v>
      </c>
      <c r="F20" s="182">
        <v>30000</v>
      </c>
      <c r="G20" s="182">
        <v>30000</v>
      </c>
    </row>
    <row r="21" spans="1:7" ht="18">
      <c r="A21" s="359" t="s">
        <v>57</v>
      </c>
      <c r="B21" s="360" t="s">
        <v>58</v>
      </c>
      <c r="C21" s="179">
        <v>77854</v>
      </c>
      <c r="D21" s="179">
        <v>111417</v>
      </c>
      <c r="E21" s="179">
        <f t="shared" si="2"/>
        <v>0</v>
      </c>
      <c r="F21" s="182">
        <v>111417</v>
      </c>
      <c r="G21" s="182">
        <v>116594</v>
      </c>
    </row>
    <row r="22" spans="1:7" ht="18">
      <c r="A22" s="359" t="s">
        <v>557</v>
      </c>
      <c r="B22" s="360" t="s">
        <v>58</v>
      </c>
      <c r="C22" s="210">
        <v>0</v>
      </c>
      <c r="D22" s="210">
        <v>0</v>
      </c>
      <c r="E22" s="210">
        <v>0</v>
      </c>
      <c r="F22" s="210">
        <v>0</v>
      </c>
      <c r="G22" s="182">
        <v>42000</v>
      </c>
    </row>
    <row r="23" spans="1:7" ht="18">
      <c r="A23" s="333" t="s">
        <v>59</v>
      </c>
      <c r="B23" s="360"/>
      <c r="C23" s="179"/>
      <c r="D23" s="179"/>
      <c r="E23" s="179"/>
      <c r="F23" s="182"/>
      <c r="G23" s="182"/>
    </row>
    <row r="24" spans="1:7" ht="18">
      <c r="A24" s="359" t="s">
        <v>60</v>
      </c>
      <c r="B24" s="360" t="s">
        <v>61</v>
      </c>
      <c r="C24" s="179">
        <v>117825.8</v>
      </c>
      <c r="D24" s="179">
        <v>77732.820000000007</v>
      </c>
      <c r="E24" s="179">
        <f t="shared" ref="E24:E27" si="3">F24-D24</f>
        <v>82707.66</v>
      </c>
      <c r="F24" s="182">
        <v>160440.48000000001</v>
      </c>
      <c r="G24" s="182">
        <v>171076.56</v>
      </c>
    </row>
    <row r="25" spans="1:7" ht="18">
      <c r="A25" s="359" t="s">
        <v>62</v>
      </c>
      <c r="B25" s="360" t="s">
        <v>63</v>
      </c>
      <c r="C25" s="179">
        <v>5400</v>
      </c>
      <c r="D25" s="179">
        <v>6300</v>
      </c>
      <c r="E25" s="179">
        <f t="shared" si="3"/>
        <v>900</v>
      </c>
      <c r="F25" s="182">
        <v>7200</v>
      </c>
      <c r="G25" s="182">
        <v>14400</v>
      </c>
    </row>
    <row r="26" spans="1:7" ht="18">
      <c r="A26" s="359" t="s">
        <v>64</v>
      </c>
      <c r="B26" s="360" t="s">
        <v>65</v>
      </c>
      <c r="C26" s="179">
        <v>19655.09</v>
      </c>
      <c r="D26" s="179">
        <v>17308.490000000002</v>
      </c>
      <c r="E26" s="179">
        <f t="shared" si="3"/>
        <v>12774.189999999999</v>
      </c>
      <c r="F26" s="182">
        <v>30082.68</v>
      </c>
      <c r="G26" s="182">
        <v>35640.949999999997</v>
      </c>
    </row>
    <row r="27" spans="1:7" ht="18">
      <c r="A27" s="364" t="s">
        <v>66</v>
      </c>
      <c r="B27" s="365" t="s">
        <v>67</v>
      </c>
      <c r="C27" s="241">
        <v>5400</v>
      </c>
      <c r="D27" s="241">
        <v>3450</v>
      </c>
      <c r="E27" s="241">
        <f t="shared" si="3"/>
        <v>3750</v>
      </c>
      <c r="F27" s="531">
        <v>7200</v>
      </c>
      <c r="G27" s="531">
        <v>7200</v>
      </c>
    </row>
    <row r="28" spans="1:7" ht="18">
      <c r="A28" s="333" t="s">
        <v>589</v>
      </c>
      <c r="B28" s="582"/>
      <c r="C28" s="245"/>
      <c r="D28" s="245"/>
      <c r="E28" s="245"/>
      <c r="F28" s="583"/>
      <c r="G28" s="583"/>
    </row>
    <row r="29" spans="1:7" ht="18.75" thickBot="1">
      <c r="A29" s="359" t="s">
        <v>558</v>
      </c>
      <c r="B29" s="584" t="s">
        <v>520</v>
      </c>
      <c r="C29" s="210">
        <v>0</v>
      </c>
      <c r="D29" s="210">
        <v>0</v>
      </c>
      <c r="E29" s="210">
        <v>0</v>
      </c>
      <c r="F29" s="210">
        <v>0</v>
      </c>
      <c r="G29" s="533">
        <v>0</v>
      </c>
    </row>
    <row r="30" spans="1:7" ht="19.5" thickTop="1" thickBot="1">
      <c r="A30" s="351" t="s">
        <v>71</v>
      </c>
      <c r="B30" s="352"/>
      <c r="C30" s="184">
        <f t="shared" ref="C30:F30" si="4">SUM(C13:C27)</f>
        <v>1495354.9800000002</v>
      </c>
      <c r="D30" s="184">
        <f t="shared" si="4"/>
        <v>968981.81</v>
      </c>
      <c r="E30" s="184">
        <f t="shared" si="4"/>
        <v>1035779.35</v>
      </c>
      <c r="F30" s="184">
        <f t="shared" si="4"/>
        <v>2004761.16</v>
      </c>
      <c r="G30" s="184">
        <f>SUM(G13:G29)</f>
        <v>2180445.5100000002</v>
      </c>
    </row>
    <row r="31" spans="1:7" ht="18.75" thickTop="1">
      <c r="A31" s="355" t="s">
        <v>72</v>
      </c>
      <c r="B31" s="356"/>
      <c r="C31" s="585"/>
      <c r="D31" s="585"/>
      <c r="E31" s="586"/>
      <c r="F31" s="587"/>
      <c r="G31" s="588"/>
    </row>
    <row r="32" spans="1:7" ht="18">
      <c r="A32" s="359"/>
      <c r="B32" s="356"/>
      <c r="C32" s="537"/>
      <c r="D32" s="537"/>
      <c r="E32" s="537"/>
      <c r="F32" s="589"/>
      <c r="G32" s="194"/>
    </row>
    <row r="33" spans="1:12" ht="18">
      <c r="A33" s="359" t="s">
        <v>77</v>
      </c>
      <c r="B33" s="360" t="s">
        <v>78</v>
      </c>
      <c r="C33" s="264">
        <v>17823</v>
      </c>
      <c r="D33" s="179">
        <v>7007.5</v>
      </c>
      <c r="E33" s="179">
        <f t="shared" ref="E33:E37" si="5">F33-D33</f>
        <v>32992.5</v>
      </c>
      <c r="F33" s="590">
        <v>40000</v>
      </c>
      <c r="G33" s="210">
        <v>80000</v>
      </c>
    </row>
    <row r="34" spans="1:12" ht="18">
      <c r="A34" s="359" t="s">
        <v>79</v>
      </c>
      <c r="B34" s="360" t="s">
        <v>80</v>
      </c>
      <c r="C34" s="264">
        <v>247283.54</v>
      </c>
      <c r="D34" s="210">
        <v>0</v>
      </c>
      <c r="E34" s="179">
        <f t="shared" si="5"/>
        <v>0</v>
      </c>
      <c r="F34" s="589">
        <v>0</v>
      </c>
      <c r="G34" s="210">
        <v>120000</v>
      </c>
    </row>
    <row r="35" spans="1:12" ht="18">
      <c r="A35" s="359" t="s">
        <v>81</v>
      </c>
      <c r="B35" s="360" t="s">
        <v>82</v>
      </c>
      <c r="C35" s="179">
        <v>53254</v>
      </c>
      <c r="D35" s="179">
        <v>3440.4</v>
      </c>
      <c r="E35" s="179">
        <f t="shared" si="5"/>
        <v>96559.6</v>
      </c>
      <c r="F35" s="590">
        <v>100000</v>
      </c>
      <c r="G35" s="210">
        <v>0</v>
      </c>
    </row>
    <row r="36" spans="1:12" ht="18">
      <c r="A36" s="359" t="s">
        <v>83</v>
      </c>
      <c r="B36" s="360" t="s">
        <v>84</v>
      </c>
      <c r="C36" s="264">
        <v>10000</v>
      </c>
      <c r="D36" s="210">
        <v>0</v>
      </c>
      <c r="E36" s="179">
        <f t="shared" si="5"/>
        <v>60000</v>
      </c>
      <c r="F36" s="590">
        <v>60000</v>
      </c>
      <c r="G36" s="210">
        <v>0</v>
      </c>
    </row>
    <row r="37" spans="1:12" ht="18">
      <c r="A37" s="359" t="s">
        <v>85</v>
      </c>
      <c r="B37" s="360" t="s">
        <v>86</v>
      </c>
      <c r="C37" s="264">
        <v>43120</v>
      </c>
      <c r="D37" s="210">
        <v>0</v>
      </c>
      <c r="E37" s="179">
        <f t="shared" si="5"/>
        <v>0</v>
      </c>
      <c r="F37" s="210">
        <v>0</v>
      </c>
      <c r="G37" s="210">
        <v>0</v>
      </c>
    </row>
    <row r="38" spans="1:12" ht="18">
      <c r="A38" s="359" t="s">
        <v>226</v>
      </c>
      <c r="B38" s="360" t="s">
        <v>227</v>
      </c>
      <c r="C38" s="537">
        <v>23028.01</v>
      </c>
      <c r="D38" s="210">
        <v>0</v>
      </c>
      <c r="E38" s="179">
        <f>F38-D38</f>
        <v>0</v>
      </c>
      <c r="F38" s="210">
        <v>0</v>
      </c>
      <c r="G38" s="210">
        <v>0</v>
      </c>
    </row>
    <row r="39" spans="1:12" ht="18">
      <c r="A39" s="359" t="s">
        <v>108</v>
      </c>
      <c r="B39" s="360" t="s">
        <v>109</v>
      </c>
      <c r="C39" s="179"/>
      <c r="D39" s="210">
        <v>0</v>
      </c>
      <c r="E39" s="179"/>
      <c r="F39" s="182"/>
      <c r="G39" s="210">
        <v>0</v>
      </c>
    </row>
    <row r="40" spans="1:12" ht="36.75" thickBot="1">
      <c r="A40" s="591" t="s">
        <v>293</v>
      </c>
      <c r="B40" s="360"/>
      <c r="C40" s="264">
        <v>2165145</v>
      </c>
      <c r="D40" s="210">
        <v>0</v>
      </c>
      <c r="E40" s="179">
        <f>F40-D40</f>
        <v>0</v>
      </c>
      <c r="F40" s="210">
        <v>0</v>
      </c>
      <c r="G40" s="210">
        <v>0</v>
      </c>
      <c r="K40" s="558"/>
      <c r="L40" s="558"/>
    </row>
    <row r="41" spans="1:12" ht="19.5" thickTop="1" thickBot="1">
      <c r="A41" s="351" t="s">
        <v>162</v>
      </c>
      <c r="B41" s="367"/>
      <c r="C41" s="184">
        <f>SUM(C33:C40)</f>
        <v>2559653.5499999998</v>
      </c>
      <c r="D41" s="184">
        <f>SUM(D33:D40)</f>
        <v>10447.9</v>
      </c>
      <c r="E41" s="184">
        <f>SUM(E33:E40)</f>
        <v>189552.1</v>
      </c>
      <c r="F41" s="184">
        <f>SUM(F33:F40)</f>
        <v>200000</v>
      </c>
      <c r="G41" s="184">
        <f>SUM(G32:G40)</f>
        <v>200000</v>
      </c>
    </row>
    <row r="42" spans="1:12" ht="19.5" thickTop="1" thickBot="1">
      <c r="A42" s="592" t="s">
        <v>181</v>
      </c>
      <c r="B42" s="593"/>
      <c r="C42" s="594">
        <f>C30+C41</f>
        <v>4055008.5300000003</v>
      </c>
      <c r="D42" s="594">
        <f>D30+D41</f>
        <v>979429.71000000008</v>
      </c>
      <c r="E42" s="594">
        <f>E30+E41</f>
        <v>1225331.45</v>
      </c>
      <c r="F42" s="594">
        <f>F30+F41</f>
        <v>2204761.16</v>
      </c>
      <c r="G42" s="594">
        <f>G30+G41</f>
        <v>2380445.5100000002</v>
      </c>
    </row>
    <row r="43" spans="1:12" ht="18.75" thickTop="1">
      <c r="A43" s="317"/>
      <c r="B43" s="317"/>
      <c r="C43" s="317"/>
      <c r="D43" s="317"/>
      <c r="E43" s="317"/>
      <c r="F43" s="317"/>
      <c r="G43" s="317"/>
    </row>
    <row r="44" spans="1:12" ht="18">
      <c r="A44" s="317"/>
      <c r="B44" s="317"/>
      <c r="C44" s="318"/>
      <c r="D44" s="317"/>
      <c r="E44" s="317"/>
      <c r="F44" s="317"/>
      <c r="G44" s="317"/>
    </row>
    <row r="45" spans="1:12" ht="18">
      <c r="A45" s="317"/>
      <c r="B45" s="317"/>
      <c r="C45" s="317"/>
      <c r="D45" s="317"/>
      <c r="E45" s="317"/>
      <c r="F45" s="317"/>
      <c r="G45" s="317"/>
    </row>
    <row r="46" spans="1:12" ht="18">
      <c r="A46" s="317"/>
      <c r="B46" s="317"/>
      <c r="C46" s="317"/>
      <c r="D46" s="317"/>
      <c r="E46" s="317"/>
      <c r="F46" s="317"/>
      <c r="G46" s="317"/>
    </row>
    <row r="47" spans="1:12" ht="18">
      <c r="A47" s="317"/>
      <c r="B47" s="317"/>
      <c r="C47" s="317"/>
      <c r="D47" s="317"/>
      <c r="E47" s="317"/>
      <c r="F47" s="317"/>
      <c r="G47" s="317"/>
    </row>
    <row r="48" spans="1:12" ht="18">
      <c r="A48" s="317"/>
      <c r="B48" s="317"/>
      <c r="C48" s="317"/>
      <c r="D48" s="317"/>
      <c r="E48" s="317"/>
      <c r="F48" s="317"/>
      <c r="G48" s="317"/>
    </row>
    <row r="49" spans="1:7" ht="18">
      <c r="A49" s="317"/>
      <c r="B49" s="317"/>
      <c r="C49" s="317"/>
      <c r="D49" s="317"/>
      <c r="E49" s="317"/>
      <c r="F49" s="317"/>
      <c r="G49" s="317"/>
    </row>
    <row r="50" spans="1:7" ht="18">
      <c r="A50" s="317"/>
      <c r="B50" s="317"/>
      <c r="C50" s="317"/>
      <c r="D50" s="317"/>
      <c r="E50" s="317"/>
      <c r="F50" s="317"/>
      <c r="G50" s="317"/>
    </row>
    <row r="51" spans="1:7" ht="18">
      <c r="A51" s="309"/>
      <c r="B51" s="1239"/>
      <c r="C51" s="1236"/>
      <c r="D51" s="1236"/>
      <c r="E51" s="369"/>
      <c r="F51" s="1240"/>
      <c r="G51" s="1241"/>
    </row>
    <row r="52" spans="1:7" ht="18">
      <c r="A52" s="373"/>
      <c r="B52" s="1235"/>
      <c r="C52" s="1236"/>
      <c r="D52" s="1236"/>
      <c r="E52" s="372"/>
      <c r="F52" s="1237"/>
      <c r="G52" s="1241"/>
    </row>
    <row r="53" spans="1:7" ht="18">
      <c r="A53" s="317"/>
      <c r="B53" s="317"/>
      <c r="C53" s="317"/>
      <c r="D53" s="317"/>
      <c r="E53" s="317"/>
      <c r="F53" s="317"/>
      <c r="G53" s="317"/>
    </row>
    <row r="54" spans="1:7" ht="18">
      <c r="A54" s="317"/>
      <c r="B54" s="317"/>
      <c r="C54" s="317"/>
      <c r="D54" s="317"/>
      <c r="E54" s="317"/>
      <c r="F54" s="317"/>
      <c r="G54" s="317"/>
    </row>
    <row r="55" spans="1:7" ht="18">
      <c r="A55" s="317"/>
      <c r="B55" s="317"/>
      <c r="C55" s="317"/>
      <c r="D55" s="317"/>
      <c r="E55" s="317"/>
      <c r="F55" s="317"/>
      <c r="G55" s="317"/>
    </row>
    <row r="56" spans="1:7" ht="18">
      <c r="A56" s="317"/>
      <c r="B56" s="317"/>
      <c r="C56" s="317"/>
      <c r="D56" s="317"/>
      <c r="E56" s="317"/>
      <c r="F56" s="317"/>
      <c r="G56" s="317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/>
      <c r="B58" s="317"/>
      <c r="C58" s="317"/>
      <c r="D58" s="317"/>
      <c r="E58" s="317"/>
      <c r="F58" s="317"/>
      <c r="G58" s="317"/>
    </row>
    <row r="59" spans="1:7" ht="18">
      <c r="A59" s="317"/>
      <c r="B59" s="317"/>
      <c r="C59" s="317"/>
      <c r="D59" s="317"/>
      <c r="E59" s="317"/>
      <c r="F59" s="317"/>
      <c r="G59" s="317"/>
    </row>
    <row r="60" spans="1:7" ht="18">
      <c r="A60" s="317"/>
      <c r="B60" s="317"/>
      <c r="C60" s="317"/>
      <c r="D60" s="317"/>
      <c r="E60" s="317"/>
      <c r="F60" s="317"/>
      <c r="G60" s="317"/>
    </row>
    <row r="61" spans="1:7" ht="18">
      <c r="A61" s="317" t="s">
        <v>183</v>
      </c>
      <c r="B61" s="317" t="s">
        <v>184</v>
      </c>
      <c r="C61" s="317"/>
      <c r="D61" s="317"/>
      <c r="E61" s="317"/>
      <c r="F61" s="317" t="s">
        <v>185</v>
      </c>
      <c r="G61" s="317"/>
    </row>
    <row r="62" spans="1:7" ht="18">
      <c r="A62" s="317"/>
      <c r="B62" s="317"/>
      <c r="C62" s="317"/>
      <c r="D62" s="317"/>
      <c r="E62" s="317"/>
      <c r="F62" s="317"/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8">
      <c r="A64" s="317"/>
      <c r="B64" s="317"/>
      <c r="C64" s="317"/>
      <c r="D64" s="317"/>
      <c r="E64" s="317"/>
      <c r="F64" s="317"/>
      <c r="G64" s="317"/>
    </row>
    <row r="65" spans="1:7" ht="18">
      <c r="A65" s="317"/>
      <c r="B65" s="317"/>
      <c r="C65" s="317"/>
      <c r="D65" s="317"/>
      <c r="E65" s="317"/>
      <c r="F65" s="317"/>
      <c r="G65" s="31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09" t="s">
        <v>294</v>
      </c>
      <c r="B68" s="1239" t="s">
        <v>187</v>
      </c>
      <c r="C68" s="1236"/>
      <c r="D68" s="1236"/>
      <c r="E68" s="369"/>
      <c r="F68" s="1240" t="s">
        <v>188</v>
      </c>
      <c r="G68" s="1241"/>
    </row>
    <row r="69" spans="1:7" ht="18">
      <c r="A69" s="373" t="s">
        <v>295</v>
      </c>
      <c r="B69" s="1235" t="s">
        <v>190</v>
      </c>
      <c r="C69" s="1236"/>
      <c r="D69" s="1236"/>
      <c r="E69" s="372"/>
      <c r="F69" s="1237" t="s">
        <v>191</v>
      </c>
      <c r="G69" s="1241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6.5">
      <c r="A72" s="1238" t="s">
        <v>194</v>
      </c>
      <c r="B72" s="1238"/>
      <c r="C72" s="1238"/>
      <c r="D72" s="1238"/>
      <c r="E72" s="1238"/>
      <c r="F72" s="1238"/>
      <c r="G72" s="1238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>
      <c r="A244" s="377"/>
      <c r="B244" s="377"/>
      <c r="C244" s="377"/>
      <c r="D244" s="377"/>
      <c r="E244" s="377"/>
      <c r="F244" s="377"/>
      <c r="G244" s="377"/>
    </row>
    <row r="245" spans="1:7">
      <c r="A245" s="377"/>
      <c r="B245" s="377"/>
      <c r="C245" s="377"/>
      <c r="D245" s="377"/>
      <c r="E245" s="377"/>
      <c r="F245" s="377"/>
      <c r="G245" s="377"/>
    </row>
    <row r="246" spans="1:7">
      <c r="A246" s="377"/>
      <c r="B246" s="377"/>
      <c r="C246" s="377"/>
      <c r="D246" s="377"/>
      <c r="E246" s="377"/>
      <c r="F246" s="377"/>
      <c r="G246" s="377"/>
    </row>
    <row r="247" spans="1:7">
      <c r="A247" s="377"/>
      <c r="B247" s="377"/>
      <c r="C247" s="377"/>
      <c r="D247" s="377"/>
      <c r="E247" s="377"/>
      <c r="F247" s="377"/>
      <c r="G247" s="377"/>
    </row>
    <row r="248" spans="1:7">
      <c r="A248" s="377"/>
      <c r="B248" s="377"/>
      <c r="C248" s="377"/>
      <c r="D248" s="377"/>
      <c r="E248" s="377"/>
      <c r="F248" s="377"/>
      <c r="G248" s="377"/>
    </row>
    <row r="249" spans="1:7">
      <c r="A249" s="377"/>
      <c r="B249" s="377"/>
      <c r="C249" s="377"/>
      <c r="D249" s="377"/>
      <c r="E249" s="377"/>
      <c r="F249" s="377"/>
      <c r="G249" s="377"/>
    </row>
    <row r="250" spans="1:7">
      <c r="A250" s="377"/>
      <c r="B250" s="377"/>
      <c r="C250" s="377"/>
      <c r="D250" s="377"/>
      <c r="E250" s="377"/>
      <c r="F250" s="377"/>
      <c r="G250" s="377"/>
    </row>
    <row r="251" spans="1:7">
      <c r="A251" s="377"/>
      <c r="B251" s="377"/>
      <c r="C251" s="377"/>
      <c r="D251" s="377"/>
      <c r="E251" s="377"/>
      <c r="F251" s="377"/>
      <c r="G251" s="377"/>
    </row>
    <row r="252" spans="1:7">
      <c r="A252" s="377"/>
      <c r="B252" s="377"/>
      <c r="C252" s="377"/>
      <c r="D252" s="377"/>
      <c r="E252" s="377"/>
      <c r="F252" s="377"/>
      <c r="G252" s="37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</sheetData>
  <sheetProtection algorithmName="SHA-512" hashValue="2e3I85vZU/H4DSE5LJSiZ+uX+LlaAx6l4izCmJKXSpVKOUgT6hZOstVp7DY/0KdCeqKQsLFO+HW4oFpWEOZTFw==" saltValue="fZXTc9gLIQDGrcrWuFKBfg==" spinCount="100000" sheet="1" objects="1" scenarios="1"/>
  <mergeCells count="17">
    <mergeCell ref="B69:D69"/>
    <mergeCell ref="F69:G69"/>
    <mergeCell ref="A72:G72"/>
    <mergeCell ref="B51:D51"/>
    <mergeCell ref="F51:G51"/>
    <mergeCell ref="B52:D52"/>
    <mergeCell ref="F52:G52"/>
    <mergeCell ref="B68:D68"/>
    <mergeCell ref="F68:G68"/>
    <mergeCell ref="A2:G2"/>
    <mergeCell ref="A3:G3"/>
    <mergeCell ref="A6:A8"/>
    <mergeCell ref="B6:B8"/>
    <mergeCell ref="C6:C8"/>
    <mergeCell ref="D6:F6"/>
    <mergeCell ref="G6:G8"/>
    <mergeCell ref="F7:F8"/>
  </mergeCells>
  <conditionalFormatting sqref="C36:C38">
    <cfRule type="cellIs" dxfId="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8B5CD-B65B-4D90-911F-80215A4C90C1}">
  <dimension ref="A1:G1001"/>
  <sheetViews>
    <sheetView topLeftCell="A31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7" t="s">
        <v>682</v>
      </c>
      <c r="B5" s="317"/>
      <c r="C5" s="317"/>
      <c r="D5" s="318"/>
      <c r="E5" s="317"/>
      <c r="F5" s="317"/>
      <c r="G5" s="317"/>
    </row>
    <row r="6" spans="1:7" ht="19.899999999999999" customHeight="1" thickTop="1" thickBot="1">
      <c r="A6" s="1228" t="s">
        <v>16</v>
      </c>
      <c r="B6" s="1228" t="s">
        <v>583</v>
      </c>
      <c r="C6" s="1230" t="s">
        <v>584</v>
      </c>
      <c r="D6" s="1231" t="s">
        <v>613</v>
      </c>
      <c r="E6" s="1242"/>
      <c r="F6" s="1243"/>
      <c r="G6" s="1230" t="s">
        <v>614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5"/>
      <c r="C10" s="326"/>
      <c r="D10" s="326"/>
      <c r="E10" s="326"/>
      <c r="F10" s="326"/>
      <c r="G10" s="380"/>
    </row>
    <row r="11" spans="1:7" ht="18">
      <c r="A11" s="328" t="s">
        <v>34</v>
      </c>
      <c r="B11" s="329"/>
      <c r="C11" s="330"/>
      <c r="D11" s="330"/>
      <c r="E11" s="330"/>
      <c r="F11" s="330"/>
      <c r="G11" s="381"/>
    </row>
    <row r="12" spans="1:7" ht="18">
      <c r="A12" s="333" t="s">
        <v>35</v>
      </c>
      <c r="B12" s="334"/>
      <c r="C12" s="335"/>
      <c r="D12" s="335"/>
      <c r="E12" s="335"/>
      <c r="F12" s="335"/>
      <c r="G12" s="383"/>
    </row>
    <row r="13" spans="1:7" ht="18">
      <c r="A13" s="338" t="s">
        <v>36</v>
      </c>
      <c r="B13" s="339" t="s">
        <v>37</v>
      </c>
      <c r="C13" s="36">
        <v>2180680</v>
      </c>
      <c r="D13" s="36">
        <v>911499.5</v>
      </c>
      <c r="E13" s="36">
        <f>F13-D13</f>
        <v>2560676.5</v>
      </c>
      <c r="F13" s="37">
        <v>3472176</v>
      </c>
      <c r="G13" s="37">
        <v>3695807</v>
      </c>
    </row>
    <row r="14" spans="1:7" ht="18">
      <c r="A14" s="333" t="s">
        <v>40</v>
      </c>
      <c r="B14" s="360"/>
      <c r="C14" s="36"/>
      <c r="D14" s="36"/>
      <c r="E14" s="36"/>
      <c r="F14" s="37"/>
      <c r="G14" s="37"/>
    </row>
    <row r="15" spans="1:7" ht="18">
      <c r="A15" s="338" t="s">
        <v>41</v>
      </c>
      <c r="B15" s="339" t="s">
        <v>42</v>
      </c>
      <c r="C15" s="36">
        <v>160000</v>
      </c>
      <c r="D15" s="36">
        <v>59909.08</v>
      </c>
      <c r="E15" s="36">
        <f t="shared" ref="E15:E16" si="0">F15-D15</f>
        <v>180090.91999999998</v>
      </c>
      <c r="F15" s="37">
        <v>240000</v>
      </c>
      <c r="G15" s="37">
        <v>240000</v>
      </c>
    </row>
    <row r="16" spans="1:7" ht="18">
      <c r="A16" s="338" t="s">
        <v>47</v>
      </c>
      <c r="B16" s="339" t="s">
        <v>48</v>
      </c>
      <c r="C16" s="36">
        <v>36000</v>
      </c>
      <c r="D16" s="38">
        <v>30000</v>
      </c>
      <c r="E16" s="36">
        <f t="shared" si="0"/>
        <v>30000</v>
      </c>
      <c r="F16" s="37">
        <v>60000</v>
      </c>
      <c r="G16" s="37">
        <v>70000</v>
      </c>
    </row>
    <row r="17" spans="1:7" ht="18">
      <c r="A17" s="338" t="s">
        <v>49</v>
      </c>
      <c r="B17" s="339" t="s">
        <v>50</v>
      </c>
      <c r="C17" s="38">
        <v>30000</v>
      </c>
      <c r="D17" s="38">
        <v>0</v>
      </c>
      <c r="E17" s="36">
        <v>50000</v>
      </c>
      <c r="F17" s="37">
        <v>50000</v>
      </c>
      <c r="G17" s="37">
        <v>50000</v>
      </c>
    </row>
    <row r="18" spans="1:7" ht="18">
      <c r="A18" s="338" t="s">
        <v>53</v>
      </c>
      <c r="B18" s="339" t="s">
        <v>54</v>
      </c>
      <c r="C18" s="36">
        <v>171938</v>
      </c>
      <c r="D18" s="38">
        <v>0</v>
      </c>
      <c r="E18" s="36">
        <f t="shared" ref="E18:E20" si="1">F18-D18</f>
        <v>289348</v>
      </c>
      <c r="F18" s="37">
        <v>289348</v>
      </c>
      <c r="G18" s="37">
        <v>315709</v>
      </c>
    </row>
    <row r="19" spans="1:7" ht="18">
      <c r="A19" s="338" t="s">
        <v>55</v>
      </c>
      <c r="B19" s="339" t="s">
        <v>56</v>
      </c>
      <c r="C19" s="36">
        <v>30000</v>
      </c>
      <c r="D19" s="38">
        <v>0</v>
      </c>
      <c r="E19" s="36">
        <f t="shared" si="1"/>
        <v>50000</v>
      </c>
      <c r="F19" s="37">
        <v>50000</v>
      </c>
      <c r="G19" s="37">
        <v>50000</v>
      </c>
    </row>
    <row r="20" spans="1:7" ht="18">
      <c r="A20" s="338" t="s">
        <v>57</v>
      </c>
      <c r="B20" s="339" t="s">
        <v>58</v>
      </c>
      <c r="C20" s="36">
        <v>186616</v>
      </c>
      <c r="D20" s="36">
        <v>152194</v>
      </c>
      <c r="E20" s="36">
        <f t="shared" si="1"/>
        <v>137154</v>
      </c>
      <c r="F20" s="37">
        <v>289348</v>
      </c>
      <c r="G20" s="37">
        <v>302466</v>
      </c>
    </row>
    <row r="21" spans="1:7" ht="18">
      <c r="A21" s="338" t="s">
        <v>557</v>
      </c>
      <c r="B21" s="339" t="s">
        <v>58</v>
      </c>
      <c r="C21" s="38">
        <v>0</v>
      </c>
      <c r="D21" s="38">
        <v>0</v>
      </c>
      <c r="E21" s="38">
        <v>0</v>
      </c>
      <c r="F21" s="38">
        <v>0</v>
      </c>
      <c r="G21" s="37">
        <f>70000</f>
        <v>70000</v>
      </c>
    </row>
    <row r="22" spans="1:7" ht="18">
      <c r="A22" s="333" t="s">
        <v>59</v>
      </c>
      <c r="B22" s="360"/>
      <c r="C22" s="36"/>
      <c r="D22" s="36"/>
      <c r="E22" s="36"/>
      <c r="F22" s="37"/>
      <c r="G22" s="37"/>
    </row>
    <row r="23" spans="1:7" ht="18">
      <c r="A23" s="338" t="s">
        <v>60</v>
      </c>
      <c r="B23" s="339" t="s">
        <v>61</v>
      </c>
      <c r="C23" s="36">
        <v>261681.6</v>
      </c>
      <c r="D23" s="36">
        <v>109573.68</v>
      </c>
      <c r="E23" s="36">
        <f t="shared" ref="E23:E26" si="2">F23-D23</f>
        <v>307087.44</v>
      </c>
      <c r="F23" s="37">
        <v>416661.12</v>
      </c>
      <c r="G23" s="37">
        <v>443496.84</v>
      </c>
    </row>
    <row r="24" spans="1:7" ht="18">
      <c r="A24" s="338" t="s">
        <v>62</v>
      </c>
      <c r="B24" s="339" t="s">
        <v>63</v>
      </c>
      <c r="C24" s="36">
        <v>8000</v>
      </c>
      <c r="D24" s="36">
        <v>5500</v>
      </c>
      <c r="E24" s="36">
        <f t="shared" si="2"/>
        <v>6500</v>
      </c>
      <c r="F24" s="37">
        <v>12000</v>
      </c>
      <c r="G24" s="37">
        <v>24000</v>
      </c>
    </row>
    <row r="25" spans="1:7" ht="18">
      <c r="A25" s="338" t="s">
        <v>64</v>
      </c>
      <c r="B25" s="339" t="s">
        <v>65</v>
      </c>
      <c r="C25" s="36">
        <v>43613.599999999999</v>
      </c>
      <c r="D25" s="36">
        <v>23968.28</v>
      </c>
      <c r="E25" s="36">
        <f t="shared" si="2"/>
        <v>54155.92</v>
      </c>
      <c r="F25" s="37">
        <v>78124.2</v>
      </c>
      <c r="G25" s="37">
        <v>92395.18</v>
      </c>
    </row>
    <row r="26" spans="1:7" ht="18">
      <c r="A26" s="341" t="s">
        <v>66</v>
      </c>
      <c r="B26" s="342" t="s">
        <v>67</v>
      </c>
      <c r="C26" s="72">
        <v>8000</v>
      </c>
      <c r="D26" s="72">
        <v>3000</v>
      </c>
      <c r="E26" s="72">
        <f t="shared" si="2"/>
        <v>9000</v>
      </c>
      <c r="F26" s="123">
        <v>12000</v>
      </c>
      <c r="G26" s="123">
        <v>12000</v>
      </c>
    </row>
    <row r="27" spans="1:7" ht="18">
      <c r="A27" s="595" t="s">
        <v>68</v>
      </c>
      <c r="B27" s="344"/>
      <c r="C27" s="129"/>
      <c r="D27" s="129"/>
      <c r="E27" s="129"/>
      <c r="F27" s="121"/>
      <c r="G27" s="121"/>
    </row>
    <row r="28" spans="1:7" ht="18.75" thickBot="1">
      <c r="A28" s="426" t="s">
        <v>558</v>
      </c>
      <c r="B28" s="347" t="s">
        <v>520</v>
      </c>
      <c r="C28" s="38">
        <v>0</v>
      </c>
      <c r="D28" s="38">
        <v>0</v>
      </c>
      <c r="E28" s="38">
        <v>0</v>
      </c>
      <c r="F28" s="38">
        <v>0</v>
      </c>
      <c r="G28" s="49">
        <v>148425.76999999999</v>
      </c>
    </row>
    <row r="29" spans="1:7" ht="19.5" thickTop="1" thickBot="1">
      <c r="A29" s="351" t="s">
        <v>71</v>
      </c>
      <c r="B29" s="352"/>
      <c r="C29" s="75">
        <f t="shared" ref="C29:F29" si="3">SUM(C13:C26)</f>
        <v>3116529.2</v>
      </c>
      <c r="D29" s="75">
        <f t="shared" si="3"/>
        <v>1295644.54</v>
      </c>
      <c r="E29" s="75">
        <f t="shared" si="3"/>
        <v>3674012.78</v>
      </c>
      <c r="F29" s="75">
        <f t="shared" si="3"/>
        <v>4969657.32</v>
      </c>
      <c r="G29" s="75">
        <f>SUM(G13:G28)</f>
        <v>5514299.7899999991</v>
      </c>
    </row>
    <row r="30" spans="1:7" ht="18.75" thickTop="1">
      <c r="A30" s="355" t="s">
        <v>72</v>
      </c>
      <c r="B30" s="356"/>
      <c r="C30" s="249"/>
      <c r="D30" s="249"/>
      <c r="E30" s="249"/>
      <c r="F30" s="249"/>
      <c r="G30" s="217"/>
    </row>
    <row r="31" spans="1:7" ht="18">
      <c r="A31" s="359" t="s">
        <v>73</v>
      </c>
      <c r="B31" s="356" t="s">
        <v>74</v>
      </c>
      <c r="C31" s="55">
        <v>0</v>
      </c>
      <c r="D31" s="55">
        <v>0</v>
      </c>
      <c r="E31" s="36">
        <f t="shared" ref="E31:E38" si="4">F31-D31</f>
        <v>90000</v>
      </c>
      <c r="F31" s="37">
        <v>90000</v>
      </c>
      <c r="G31" s="37">
        <v>70000</v>
      </c>
    </row>
    <row r="32" spans="1:7" ht="18">
      <c r="A32" s="338" t="s">
        <v>75</v>
      </c>
      <c r="B32" s="398" t="s">
        <v>76</v>
      </c>
      <c r="C32" s="38">
        <v>13000</v>
      </c>
      <c r="D32" s="38">
        <v>0</v>
      </c>
      <c r="E32" s="36">
        <f t="shared" si="4"/>
        <v>930000</v>
      </c>
      <c r="F32" s="37">
        <v>930000</v>
      </c>
      <c r="G32" s="57">
        <v>0</v>
      </c>
    </row>
    <row r="33" spans="1:7" ht="18">
      <c r="A33" s="338" t="s">
        <v>224</v>
      </c>
      <c r="B33" s="398" t="s">
        <v>78</v>
      </c>
      <c r="C33" s="38">
        <v>0</v>
      </c>
      <c r="D33" s="38">
        <v>0</v>
      </c>
      <c r="E33" s="57">
        <v>0</v>
      </c>
      <c r="F33" s="57">
        <v>0</v>
      </c>
      <c r="G33" s="37">
        <v>60000</v>
      </c>
    </row>
    <row r="34" spans="1:7" ht="18">
      <c r="A34" s="338" t="s">
        <v>79</v>
      </c>
      <c r="B34" s="339" t="s">
        <v>80</v>
      </c>
      <c r="C34" s="38">
        <v>118662.88</v>
      </c>
      <c r="D34" s="38">
        <v>19433</v>
      </c>
      <c r="E34" s="36">
        <f t="shared" si="4"/>
        <v>130567</v>
      </c>
      <c r="F34" s="37">
        <v>150000</v>
      </c>
      <c r="G34" s="37">
        <v>130000</v>
      </c>
    </row>
    <row r="35" spans="1:7" ht="18">
      <c r="A35" s="338" t="s">
        <v>81</v>
      </c>
      <c r="B35" s="339" t="s">
        <v>82</v>
      </c>
      <c r="C35" s="36">
        <v>33397.25</v>
      </c>
      <c r="D35" s="56">
        <v>33477.599999999999</v>
      </c>
      <c r="E35" s="36">
        <f t="shared" si="4"/>
        <v>26522.400000000001</v>
      </c>
      <c r="F35" s="37">
        <v>60000</v>
      </c>
      <c r="G35" s="37">
        <v>60000</v>
      </c>
    </row>
    <row r="36" spans="1:7" ht="18">
      <c r="A36" s="359" t="s">
        <v>83</v>
      </c>
      <c r="B36" s="360" t="s">
        <v>84</v>
      </c>
      <c r="C36" s="55">
        <v>122781.5</v>
      </c>
      <c r="D36" s="36">
        <v>54394</v>
      </c>
      <c r="E36" s="36">
        <f t="shared" si="4"/>
        <v>65606</v>
      </c>
      <c r="F36" s="37">
        <v>120000</v>
      </c>
      <c r="G36" s="37">
        <v>180000</v>
      </c>
    </row>
    <row r="37" spans="1:7" ht="36">
      <c r="A37" s="538" t="s">
        <v>298</v>
      </c>
      <c r="B37" s="360" t="s">
        <v>243</v>
      </c>
      <c r="C37" s="38">
        <v>0</v>
      </c>
      <c r="D37" s="38">
        <v>0</v>
      </c>
      <c r="E37" s="36">
        <f t="shared" si="4"/>
        <v>300000</v>
      </c>
      <c r="F37" s="37">
        <v>300000</v>
      </c>
      <c r="G37" s="37">
        <v>150000</v>
      </c>
    </row>
    <row r="38" spans="1:7" ht="18">
      <c r="A38" s="359" t="s">
        <v>276</v>
      </c>
      <c r="B38" s="360" t="s">
        <v>256</v>
      </c>
      <c r="C38" s="38">
        <v>610315.11</v>
      </c>
      <c r="D38" s="38">
        <v>0</v>
      </c>
      <c r="E38" s="36">
        <f t="shared" si="4"/>
        <v>1000000</v>
      </c>
      <c r="F38" s="37">
        <v>1000000</v>
      </c>
      <c r="G38" s="37">
        <v>600000</v>
      </c>
    </row>
    <row r="39" spans="1:7" ht="18">
      <c r="A39" s="338" t="s">
        <v>100</v>
      </c>
      <c r="B39" s="360" t="s">
        <v>101</v>
      </c>
      <c r="C39" s="38">
        <v>90355</v>
      </c>
      <c r="D39" s="38">
        <v>0</v>
      </c>
      <c r="E39" s="38">
        <v>0</v>
      </c>
      <c r="F39" s="57">
        <v>0</v>
      </c>
      <c r="G39" s="57">
        <v>0</v>
      </c>
    </row>
    <row r="40" spans="1:7" ht="18">
      <c r="A40" s="338" t="s">
        <v>108</v>
      </c>
      <c r="B40" s="339" t="s">
        <v>109</v>
      </c>
      <c r="C40" s="36"/>
      <c r="D40" s="36"/>
      <c r="E40" s="36"/>
      <c r="F40" s="37"/>
      <c r="G40" s="37"/>
    </row>
    <row r="41" spans="1:7" ht="18">
      <c r="A41" s="434" t="s">
        <v>301</v>
      </c>
      <c r="B41" s="398"/>
      <c r="C41" s="38">
        <v>0</v>
      </c>
      <c r="D41" s="97">
        <v>0</v>
      </c>
      <c r="E41" s="36">
        <f t="shared" ref="E41" si="5">F41-D41</f>
        <v>800000</v>
      </c>
      <c r="F41" s="37">
        <v>800000</v>
      </c>
      <c r="G41" s="57">
        <v>0</v>
      </c>
    </row>
    <row r="42" spans="1:7" ht="18.75" thickBot="1">
      <c r="A42" s="541" t="s">
        <v>302</v>
      </c>
      <c r="B42" s="427"/>
      <c r="C42" s="36">
        <v>226197</v>
      </c>
      <c r="D42" s="97">
        <v>0</v>
      </c>
      <c r="E42" s="38">
        <v>0</v>
      </c>
      <c r="F42" s="57">
        <v>0</v>
      </c>
      <c r="G42" s="57">
        <v>0</v>
      </c>
    </row>
    <row r="43" spans="1:7" ht="19.5" thickTop="1" thickBot="1">
      <c r="A43" s="351" t="s">
        <v>162</v>
      </c>
      <c r="B43" s="367"/>
      <c r="C43" s="75">
        <f t="shared" ref="C43:G43" si="6">SUM(C31:C42)</f>
        <v>1214708.74</v>
      </c>
      <c r="D43" s="75">
        <f t="shared" si="6"/>
        <v>107304.6</v>
      </c>
      <c r="E43" s="75">
        <f>SUM(E31:E42)</f>
        <v>3342695.4</v>
      </c>
      <c r="F43" s="75">
        <f>SUM(F31:F42)</f>
        <v>3450000</v>
      </c>
      <c r="G43" s="75">
        <f t="shared" si="6"/>
        <v>1250000</v>
      </c>
    </row>
    <row r="44" spans="1:7" ht="19.5" thickTop="1" thickBot="1">
      <c r="A44" s="351" t="s">
        <v>181</v>
      </c>
      <c r="B44" s="367"/>
      <c r="C44" s="75">
        <f>C43+C29</f>
        <v>4331237.9400000004</v>
      </c>
      <c r="D44" s="75">
        <f>D43+D29</f>
        <v>1402949.1400000001</v>
      </c>
      <c r="E44" s="75">
        <f>E43+E29</f>
        <v>7016708.1799999997</v>
      </c>
      <c r="F44" s="75">
        <f>F43+F29</f>
        <v>8419657.3200000003</v>
      </c>
      <c r="G44" s="75">
        <f>G43+G29</f>
        <v>6764299.7899999991</v>
      </c>
    </row>
    <row r="45" spans="1:7" ht="18.75" thickTop="1">
      <c r="A45" s="317"/>
      <c r="B45" s="317"/>
      <c r="C45" s="317"/>
      <c r="D45" s="317"/>
      <c r="E45" s="317"/>
      <c r="F45" s="317"/>
      <c r="G45" s="317"/>
    </row>
    <row r="46" spans="1:7" ht="18">
      <c r="A46" s="317"/>
      <c r="B46" s="317"/>
      <c r="C46" s="317"/>
      <c r="D46" s="317"/>
      <c r="E46" s="317"/>
      <c r="F46" s="317"/>
      <c r="G46" s="317"/>
    </row>
    <row r="47" spans="1:7" ht="18">
      <c r="A47" s="317"/>
      <c r="B47" s="317"/>
      <c r="C47" s="317"/>
      <c r="D47" s="317"/>
      <c r="E47" s="317"/>
      <c r="F47" s="317"/>
      <c r="G47" s="317"/>
    </row>
    <row r="48" spans="1:7" ht="18">
      <c r="A48" s="317"/>
      <c r="B48" s="317"/>
      <c r="C48" s="317"/>
      <c r="D48" s="317"/>
      <c r="E48" s="317"/>
      <c r="F48" s="317"/>
      <c r="G48" s="317"/>
    </row>
    <row r="49" spans="1:7" ht="18">
      <c r="A49" s="317"/>
      <c r="B49" s="317"/>
      <c r="C49" s="317"/>
      <c r="D49" s="317"/>
      <c r="E49" s="317"/>
      <c r="F49" s="317"/>
      <c r="G49" s="317"/>
    </row>
    <row r="50" spans="1:7" ht="18">
      <c r="A50" s="317"/>
      <c r="B50" s="317"/>
      <c r="C50" s="317"/>
      <c r="D50" s="317"/>
      <c r="E50" s="317"/>
      <c r="F50" s="317"/>
      <c r="G50" s="317"/>
    </row>
    <row r="51" spans="1:7" ht="18">
      <c r="A51" s="317"/>
      <c r="B51" s="317"/>
      <c r="C51" s="317"/>
      <c r="D51" s="317"/>
      <c r="E51" s="317"/>
      <c r="F51" s="317"/>
      <c r="G51" s="317"/>
    </row>
    <row r="52" spans="1:7" ht="18">
      <c r="A52" s="317"/>
      <c r="B52" s="317"/>
      <c r="C52" s="317"/>
      <c r="D52" s="317"/>
      <c r="E52" s="317"/>
      <c r="F52" s="317"/>
      <c r="G52" s="317"/>
    </row>
    <row r="53" spans="1:7" ht="18">
      <c r="A53" s="309"/>
      <c r="B53" s="1239"/>
      <c r="C53" s="1236"/>
      <c r="D53" s="1236"/>
      <c r="E53" s="369"/>
      <c r="F53" s="1240"/>
      <c r="G53" s="1241"/>
    </row>
    <row r="54" spans="1:7" ht="18">
      <c r="A54" s="309"/>
      <c r="B54" s="368"/>
      <c r="E54" s="369"/>
      <c r="F54" s="370"/>
      <c r="G54" s="375"/>
    </row>
    <row r="55" spans="1:7" ht="18">
      <c r="A55" s="309"/>
      <c r="B55" s="368"/>
      <c r="E55" s="369"/>
      <c r="F55" s="370"/>
      <c r="G55" s="375"/>
    </row>
    <row r="56" spans="1:7" ht="18">
      <c r="A56" s="317"/>
      <c r="B56" s="317"/>
      <c r="C56" s="317"/>
      <c r="D56" s="317"/>
      <c r="E56" s="317"/>
      <c r="F56" s="317"/>
      <c r="G56" s="317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/>
      <c r="B58" s="317"/>
      <c r="C58" s="317"/>
      <c r="D58" s="317"/>
      <c r="E58" s="317"/>
      <c r="F58" s="317"/>
      <c r="G58" s="317"/>
    </row>
    <row r="59" spans="1:7" ht="18">
      <c r="A59" s="317"/>
      <c r="B59" s="317"/>
      <c r="C59" s="317"/>
      <c r="D59" s="317"/>
      <c r="E59" s="317"/>
      <c r="F59" s="317"/>
      <c r="G59" s="317"/>
    </row>
    <row r="60" spans="1:7" ht="18">
      <c r="A60" s="317" t="s">
        <v>183</v>
      </c>
      <c r="B60" s="317" t="s">
        <v>184</v>
      </c>
      <c r="C60" s="317"/>
      <c r="D60" s="317"/>
      <c r="E60" s="317"/>
      <c r="F60" s="317" t="s">
        <v>185</v>
      </c>
      <c r="G60" s="317"/>
    </row>
    <row r="61" spans="1:7" ht="18">
      <c r="A61" s="317"/>
      <c r="B61" s="317"/>
      <c r="C61" s="317"/>
      <c r="D61" s="317"/>
      <c r="E61" s="317"/>
      <c r="F61" s="317"/>
      <c r="G61" s="317"/>
    </row>
    <row r="62" spans="1:7" ht="18">
      <c r="A62" s="317"/>
      <c r="B62" s="317"/>
      <c r="C62" s="317"/>
      <c r="D62" s="317"/>
      <c r="E62" s="317"/>
      <c r="F62" s="317"/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8">
      <c r="A64" s="317"/>
      <c r="B64" s="317"/>
      <c r="C64" s="317"/>
      <c r="D64" s="317"/>
      <c r="E64" s="317"/>
      <c r="F64" s="317"/>
      <c r="G64" s="317"/>
    </row>
    <row r="65" spans="1:7" ht="18">
      <c r="A65" s="317"/>
      <c r="B65" s="317" t="s">
        <v>182</v>
      </c>
      <c r="C65" s="317"/>
      <c r="D65" s="317"/>
      <c r="E65" s="317"/>
      <c r="F65" s="317"/>
      <c r="G65" s="31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8">
      <c r="A67" s="309" t="s">
        <v>303</v>
      </c>
      <c r="B67" s="1239" t="s">
        <v>187</v>
      </c>
      <c r="C67" s="1236"/>
      <c r="D67" s="1236"/>
      <c r="E67" s="369"/>
      <c r="F67" s="1240" t="s">
        <v>188</v>
      </c>
      <c r="G67" s="1241"/>
    </row>
    <row r="68" spans="1:7" ht="18">
      <c r="A68" s="371" t="s">
        <v>304</v>
      </c>
      <c r="B68" s="1235" t="s">
        <v>190</v>
      </c>
      <c r="C68" s="1236"/>
      <c r="D68" s="1236"/>
      <c r="E68" s="372"/>
      <c r="F68" s="1237" t="s">
        <v>191</v>
      </c>
      <c r="G68" s="1241"/>
    </row>
    <row r="69" spans="1:7" ht="18">
      <c r="A69" s="317"/>
      <c r="B69" s="317"/>
      <c r="C69" s="317"/>
      <c r="D69" s="317"/>
      <c r="E69" s="317"/>
      <c r="F69" s="317"/>
      <c r="G69" s="317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6.5">
      <c r="A71" s="1238" t="s">
        <v>194</v>
      </c>
      <c r="B71" s="1238"/>
      <c r="C71" s="1238"/>
      <c r="D71" s="1238"/>
      <c r="E71" s="1238"/>
      <c r="F71" s="1238"/>
      <c r="G71" s="1238"/>
    </row>
    <row r="72" spans="1:7" ht="18">
      <c r="A72" s="317"/>
      <c r="B72" s="317"/>
      <c r="C72" s="317"/>
      <c r="D72" s="317"/>
      <c r="E72" s="317"/>
      <c r="F72" s="317"/>
      <c r="G72" s="317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 ht="18">
      <c r="A249" s="317"/>
      <c r="B249" s="317"/>
      <c r="C249" s="317"/>
      <c r="D249" s="317"/>
      <c r="E249" s="317"/>
      <c r="F249" s="317"/>
      <c r="G249" s="317"/>
    </row>
    <row r="250" spans="1:7" ht="18">
      <c r="A250" s="317"/>
      <c r="B250" s="317"/>
      <c r="C250" s="317"/>
      <c r="D250" s="317"/>
      <c r="E250" s="317"/>
      <c r="F250" s="317"/>
      <c r="G250" s="317"/>
    </row>
    <row r="251" spans="1:7" ht="18">
      <c r="A251" s="317"/>
      <c r="B251" s="317"/>
      <c r="C251" s="317"/>
      <c r="D251" s="317"/>
      <c r="E251" s="317"/>
      <c r="F251" s="317"/>
      <c r="G251" s="317"/>
    </row>
    <row r="252" spans="1:7" ht="18">
      <c r="A252" s="317"/>
      <c r="B252" s="317"/>
      <c r="C252" s="317"/>
      <c r="D252" s="317"/>
      <c r="E252" s="317"/>
      <c r="F252" s="317"/>
      <c r="G252" s="317"/>
    </row>
    <row r="253" spans="1:7" ht="18">
      <c r="A253" s="317"/>
      <c r="B253" s="317"/>
      <c r="C253" s="317"/>
      <c r="D253" s="317"/>
      <c r="E253" s="317"/>
      <c r="F253" s="317"/>
      <c r="G253" s="317"/>
    </row>
    <row r="254" spans="1:7" ht="18">
      <c r="A254" s="317"/>
      <c r="B254" s="317"/>
      <c r="C254" s="317"/>
      <c r="D254" s="317"/>
      <c r="E254" s="317"/>
      <c r="F254" s="317"/>
      <c r="G254" s="31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  <row r="994" spans="1:7">
      <c r="A994" s="377"/>
      <c r="B994" s="377"/>
      <c r="C994" s="377"/>
      <c r="D994" s="377"/>
      <c r="E994" s="377"/>
      <c r="F994" s="377"/>
      <c r="G994" s="377"/>
    </row>
    <row r="995" spans="1:7">
      <c r="A995" s="377"/>
      <c r="B995" s="377"/>
      <c r="C995" s="377"/>
      <c r="D995" s="377"/>
      <c r="E995" s="377"/>
      <c r="F995" s="377"/>
      <c r="G995" s="377"/>
    </row>
    <row r="996" spans="1:7">
      <c r="A996" s="377"/>
      <c r="B996" s="377"/>
      <c r="C996" s="377"/>
      <c r="D996" s="377"/>
      <c r="E996" s="377"/>
      <c r="F996" s="377"/>
      <c r="G996" s="377"/>
    </row>
    <row r="997" spans="1:7">
      <c r="A997" s="377"/>
      <c r="B997" s="377"/>
      <c r="C997" s="377"/>
      <c r="D997" s="377"/>
      <c r="E997" s="377"/>
      <c r="F997" s="377"/>
      <c r="G997" s="377"/>
    </row>
    <row r="998" spans="1:7">
      <c r="A998" s="377"/>
      <c r="B998" s="377"/>
      <c r="C998" s="377"/>
      <c r="D998" s="377"/>
      <c r="E998" s="377"/>
      <c r="F998" s="377"/>
      <c r="G998" s="377"/>
    </row>
    <row r="999" spans="1:7">
      <c r="A999" s="377"/>
      <c r="B999" s="377"/>
      <c r="C999" s="377"/>
      <c r="D999" s="377"/>
      <c r="E999" s="377"/>
      <c r="F999" s="377"/>
      <c r="G999" s="377"/>
    </row>
    <row r="1000" spans="1:7">
      <c r="A1000" s="377"/>
      <c r="B1000" s="377"/>
      <c r="C1000" s="377"/>
      <c r="D1000" s="377"/>
      <c r="E1000" s="377"/>
      <c r="F1000" s="377"/>
      <c r="G1000" s="377"/>
    </row>
    <row r="1001" spans="1:7">
      <c r="A1001" s="377"/>
      <c r="B1001" s="377"/>
      <c r="C1001" s="377"/>
      <c r="D1001" s="377"/>
      <c r="E1001" s="377"/>
      <c r="F1001" s="377"/>
      <c r="G1001" s="377"/>
    </row>
  </sheetData>
  <sheetProtection algorithmName="SHA-512" hashValue="JfiK9T2AULmRj30qM2ny16s1nhg1sA5OYP0EpafnjJ61VGdbtXhl1hfyqLANe89TXK+8y6YQFT4he3M3jEAluA==" saltValue="Ln38sLprWSigtQ72NbBHbA==" spinCount="100000" sheet="1" objects="1" scenarios="1"/>
  <mergeCells count="15">
    <mergeCell ref="A71:G71"/>
    <mergeCell ref="B53:D53"/>
    <mergeCell ref="F53:G53"/>
    <mergeCell ref="B67:D67"/>
    <mergeCell ref="F67:G67"/>
    <mergeCell ref="B68:D68"/>
    <mergeCell ref="F68:G68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D4CAA-50CC-4D90-A0BE-0D98512F73B5}">
  <dimension ref="A1:L1010"/>
  <sheetViews>
    <sheetView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9" width="8.85546875" style="314"/>
    <col min="10" max="10" width="15.140625" style="314" customWidth="1"/>
    <col min="11" max="11" width="12.7109375" style="314" bestFit="1" customWidth="1"/>
    <col min="12" max="12" width="13.85546875" style="314" bestFit="1" customWidth="1"/>
    <col min="13" max="16384" width="8.85546875" style="314"/>
  </cols>
  <sheetData>
    <row r="1" spans="1:7" ht="18">
      <c r="A1" s="523" t="s">
        <v>13</v>
      </c>
      <c r="B1" s="315"/>
      <c r="C1" s="316"/>
      <c r="D1" s="316"/>
      <c r="E1" s="316"/>
      <c r="F1" s="315"/>
      <c r="G1" s="315"/>
    </row>
    <row r="2" spans="1:7" ht="21">
      <c r="A2" s="1259" t="s">
        <v>0</v>
      </c>
      <c r="B2" s="1241"/>
      <c r="C2" s="1241"/>
      <c r="D2" s="1241"/>
      <c r="E2" s="1241"/>
      <c r="F2" s="1241"/>
      <c r="G2" s="1241"/>
    </row>
    <row r="3" spans="1:7" ht="18">
      <c r="A3" s="1260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5" t="s">
        <v>683</v>
      </c>
      <c r="B5" s="315"/>
      <c r="C5" s="316"/>
      <c r="D5" s="596"/>
      <c r="E5" s="316"/>
      <c r="F5" s="315"/>
      <c r="G5" s="315"/>
    </row>
    <row r="6" spans="1:7" ht="16.5" thickTop="1" thickBot="1">
      <c r="A6" s="1275" t="s">
        <v>16</v>
      </c>
      <c r="B6" s="1277" t="s">
        <v>267</v>
      </c>
      <c r="C6" s="1278" t="s">
        <v>684</v>
      </c>
      <c r="D6" s="1279" t="s">
        <v>613</v>
      </c>
      <c r="E6" s="1280"/>
      <c r="F6" s="1281"/>
      <c r="G6" s="1228" t="s">
        <v>685</v>
      </c>
    </row>
    <row r="7" spans="1:7" ht="35.25" thickTop="1">
      <c r="A7" s="1276"/>
      <c r="B7" s="1234"/>
      <c r="C7" s="1234"/>
      <c r="D7" s="525" t="s">
        <v>21</v>
      </c>
      <c r="E7" s="525" t="s">
        <v>22</v>
      </c>
      <c r="F7" s="1261" t="s">
        <v>23</v>
      </c>
      <c r="G7" s="1234"/>
    </row>
    <row r="8" spans="1:7" ht="18">
      <c r="A8" s="1276"/>
      <c r="B8" s="1234"/>
      <c r="C8" s="1234"/>
      <c r="D8" s="526" t="s">
        <v>24</v>
      </c>
      <c r="E8" s="526" t="s">
        <v>25</v>
      </c>
      <c r="F8" s="1234"/>
      <c r="G8" s="1234"/>
    </row>
    <row r="9" spans="1:7" ht="18.75" thickBot="1">
      <c r="A9" s="597" t="s">
        <v>26</v>
      </c>
      <c r="B9" s="527" t="s">
        <v>27</v>
      </c>
      <c r="C9" s="528" t="s">
        <v>28</v>
      </c>
      <c r="D9" s="528" t="s">
        <v>29</v>
      </c>
      <c r="E9" s="528" t="s">
        <v>30</v>
      </c>
      <c r="F9" s="527" t="s">
        <v>31</v>
      </c>
      <c r="G9" s="598" t="s">
        <v>32</v>
      </c>
    </row>
    <row r="10" spans="1:7" ht="18.75" thickTop="1">
      <c r="A10" s="599" t="s">
        <v>33</v>
      </c>
      <c r="B10" s="325"/>
      <c r="C10" s="578"/>
      <c r="D10" s="578"/>
      <c r="E10" s="578"/>
      <c r="F10" s="380"/>
      <c r="G10" s="600"/>
    </row>
    <row r="11" spans="1:7" ht="18">
      <c r="A11" s="601" t="s">
        <v>34</v>
      </c>
      <c r="B11" s="329"/>
      <c r="C11" s="579"/>
      <c r="D11" s="579"/>
      <c r="E11" s="579"/>
      <c r="F11" s="381"/>
      <c r="G11" s="602"/>
    </row>
    <row r="12" spans="1:7" ht="18">
      <c r="A12" s="603" t="s">
        <v>35</v>
      </c>
      <c r="B12" s="334"/>
      <c r="C12" s="579"/>
      <c r="D12" s="579"/>
      <c r="E12" s="579"/>
      <c r="F12" s="383"/>
      <c r="G12" s="604"/>
    </row>
    <row r="13" spans="1:7" ht="18">
      <c r="A13" s="605" t="s">
        <v>36</v>
      </c>
      <c r="B13" s="360" t="s">
        <v>37</v>
      </c>
      <c r="C13" s="179">
        <v>937164</v>
      </c>
      <c r="D13" s="179">
        <v>468582</v>
      </c>
      <c r="E13" s="179">
        <f>F13-D13</f>
        <v>468582</v>
      </c>
      <c r="F13" s="182">
        <v>937164</v>
      </c>
      <c r="G13" s="606">
        <v>997424</v>
      </c>
    </row>
    <row r="14" spans="1:7" ht="18">
      <c r="A14" s="605" t="s">
        <v>216</v>
      </c>
      <c r="B14" s="360" t="s">
        <v>39</v>
      </c>
      <c r="C14" s="179">
        <v>597408.9</v>
      </c>
      <c r="D14" s="179">
        <v>291317.90000000002</v>
      </c>
      <c r="E14" s="179">
        <f t="shared" ref="E14:E29" si="0">F14-D14</f>
        <v>332682.09999999998</v>
      </c>
      <c r="F14" s="182">
        <v>624000</v>
      </c>
      <c r="G14" s="606">
        <v>660060</v>
      </c>
    </row>
    <row r="15" spans="1:7" ht="18">
      <c r="A15" s="603" t="s">
        <v>40</v>
      </c>
      <c r="B15" s="360"/>
      <c r="C15" s="179"/>
      <c r="D15" s="179"/>
      <c r="E15" s="179">
        <f t="shared" si="0"/>
        <v>0</v>
      </c>
      <c r="F15" s="182"/>
      <c r="G15" s="606"/>
    </row>
    <row r="16" spans="1:7" ht="18">
      <c r="A16" s="605" t="s">
        <v>41</v>
      </c>
      <c r="B16" s="360" t="s">
        <v>42</v>
      </c>
      <c r="C16" s="179">
        <v>163909.10999999999</v>
      </c>
      <c r="D16" s="179">
        <v>80818.210000000006</v>
      </c>
      <c r="E16" s="179">
        <f t="shared" si="0"/>
        <v>87181.79</v>
      </c>
      <c r="F16" s="182">
        <v>168000</v>
      </c>
      <c r="G16" s="606">
        <v>168000</v>
      </c>
    </row>
    <row r="17" spans="1:7" ht="18">
      <c r="A17" s="605" t="s">
        <v>43</v>
      </c>
      <c r="B17" s="360" t="s">
        <v>44</v>
      </c>
      <c r="C17" s="179">
        <v>60000</v>
      </c>
      <c r="D17" s="179">
        <v>25000</v>
      </c>
      <c r="E17" s="179">
        <f t="shared" si="0"/>
        <v>35000</v>
      </c>
      <c r="F17" s="182">
        <v>60000</v>
      </c>
      <c r="G17" s="606">
        <v>0</v>
      </c>
    </row>
    <row r="18" spans="1:7" ht="18">
      <c r="A18" s="605" t="s">
        <v>47</v>
      </c>
      <c r="B18" s="360" t="s">
        <v>48</v>
      </c>
      <c r="C18" s="179">
        <v>42000</v>
      </c>
      <c r="D18" s="264">
        <v>36000</v>
      </c>
      <c r="E18" s="179">
        <f t="shared" si="0"/>
        <v>6000</v>
      </c>
      <c r="F18" s="182">
        <v>42000</v>
      </c>
      <c r="G18" s="606">
        <v>49000</v>
      </c>
    </row>
    <row r="19" spans="1:7" ht="18">
      <c r="A19" s="605" t="s">
        <v>49</v>
      </c>
      <c r="B19" s="360" t="s">
        <v>50</v>
      </c>
      <c r="C19" s="264">
        <v>35000</v>
      </c>
      <c r="D19" s="264">
        <v>0</v>
      </c>
      <c r="E19" s="179">
        <f t="shared" si="0"/>
        <v>35000</v>
      </c>
      <c r="F19" s="182">
        <v>35000</v>
      </c>
      <c r="G19" s="606">
        <v>35000</v>
      </c>
    </row>
    <row r="20" spans="1:7" ht="18">
      <c r="A20" s="605" t="s">
        <v>686</v>
      </c>
      <c r="B20" s="360" t="s">
        <v>269</v>
      </c>
      <c r="C20" s="264">
        <v>1180000</v>
      </c>
      <c r="D20" s="264">
        <v>600000</v>
      </c>
      <c r="E20" s="179">
        <f t="shared" si="0"/>
        <v>600000</v>
      </c>
      <c r="F20" s="607">
        <v>1200000</v>
      </c>
      <c r="G20" s="608">
        <v>0</v>
      </c>
    </row>
    <row r="21" spans="1:7" ht="18">
      <c r="A21" s="605" t="s">
        <v>53</v>
      </c>
      <c r="B21" s="360" t="s">
        <v>54</v>
      </c>
      <c r="C21" s="179">
        <v>130097</v>
      </c>
      <c r="D21" s="264">
        <v>0</v>
      </c>
      <c r="E21" s="179">
        <f t="shared" si="0"/>
        <v>130097</v>
      </c>
      <c r="F21" s="182">
        <v>130097</v>
      </c>
      <c r="G21" s="606">
        <v>141430</v>
      </c>
    </row>
    <row r="22" spans="1:7" ht="18">
      <c r="A22" s="605" t="s">
        <v>55</v>
      </c>
      <c r="B22" s="360" t="s">
        <v>56</v>
      </c>
      <c r="C22" s="179">
        <v>35000</v>
      </c>
      <c r="D22" s="264">
        <v>0</v>
      </c>
      <c r="E22" s="179">
        <f t="shared" si="0"/>
        <v>35000</v>
      </c>
      <c r="F22" s="182">
        <v>35000</v>
      </c>
      <c r="G22" s="606">
        <v>35000</v>
      </c>
    </row>
    <row r="23" spans="1:7" ht="18">
      <c r="A23" s="605" t="s">
        <v>57</v>
      </c>
      <c r="B23" s="360" t="s">
        <v>58</v>
      </c>
      <c r="C23" s="179">
        <v>130097</v>
      </c>
      <c r="D23" s="179">
        <v>117097</v>
      </c>
      <c r="E23" s="179">
        <f t="shared" si="0"/>
        <v>13000</v>
      </c>
      <c r="F23" s="182">
        <v>130097</v>
      </c>
      <c r="G23" s="606">
        <v>135762</v>
      </c>
    </row>
    <row r="24" spans="1:7" ht="18">
      <c r="A24" s="605" t="s">
        <v>557</v>
      </c>
      <c r="B24" s="360" t="s">
        <v>58</v>
      </c>
      <c r="C24" s="179">
        <v>0</v>
      </c>
      <c r="D24" s="179">
        <v>0</v>
      </c>
      <c r="E24" s="179"/>
      <c r="F24" s="182"/>
      <c r="G24" s="609">
        <v>49000</v>
      </c>
    </row>
    <row r="25" spans="1:7" ht="18">
      <c r="A25" s="603" t="s">
        <v>59</v>
      </c>
      <c r="B25" s="360"/>
      <c r="C25" s="179"/>
      <c r="D25" s="179"/>
      <c r="E25" s="179">
        <f t="shared" si="0"/>
        <v>0</v>
      </c>
      <c r="F25" s="182"/>
      <c r="G25" s="609"/>
    </row>
    <row r="26" spans="1:7" ht="18">
      <c r="A26" s="605" t="s">
        <v>60</v>
      </c>
      <c r="B26" s="360" t="s">
        <v>61</v>
      </c>
      <c r="C26" s="179">
        <v>184119.03</v>
      </c>
      <c r="D26" s="179">
        <v>91230.06</v>
      </c>
      <c r="E26" s="179">
        <f t="shared" si="0"/>
        <v>96109.62</v>
      </c>
      <c r="F26" s="182">
        <v>187339.68</v>
      </c>
      <c r="G26" s="609">
        <v>198898.08</v>
      </c>
    </row>
    <row r="27" spans="1:7" ht="18">
      <c r="A27" s="605" t="s">
        <v>62</v>
      </c>
      <c r="B27" s="360" t="s">
        <v>63</v>
      </c>
      <c r="C27" s="179">
        <v>8200</v>
      </c>
      <c r="D27" s="179">
        <v>7600</v>
      </c>
      <c r="E27" s="179">
        <f t="shared" si="0"/>
        <v>800</v>
      </c>
      <c r="F27" s="182">
        <v>8400</v>
      </c>
      <c r="G27" s="609">
        <v>16800</v>
      </c>
    </row>
    <row r="28" spans="1:7" ht="18">
      <c r="A28" s="605" t="s">
        <v>64</v>
      </c>
      <c r="B28" s="360" t="s">
        <v>65</v>
      </c>
      <c r="C28" s="179">
        <v>30691.46</v>
      </c>
      <c r="D28" s="241">
        <v>19850.580000000002</v>
      </c>
      <c r="E28" s="179">
        <f t="shared" si="0"/>
        <v>15275.580000000002</v>
      </c>
      <c r="F28" s="182">
        <v>35126.160000000003</v>
      </c>
      <c r="G28" s="609">
        <v>31955.599999999999</v>
      </c>
    </row>
    <row r="29" spans="1:7" ht="18">
      <c r="A29" s="610" t="s">
        <v>66</v>
      </c>
      <c r="B29" s="365" t="s">
        <v>67</v>
      </c>
      <c r="C29" s="241">
        <v>8200</v>
      </c>
      <c r="D29" s="611">
        <v>4100</v>
      </c>
      <c r="E29" s="241">
        <f t="shared" si="0"/>
        <v>4300</v>
      </c>
      <c r="F29" s="531">
        <v>8400</v>
      </c>
      <c r="G29" s="612">
        <v>8400</v>
      </c>
    </row>
    <row r="30" spans="1:7" ht="18">
      <c r="A30" s="613" t="s">
        <v>59</v>
      </c>
      <c r="B30" s="614"/>
      <c r="C30" s="611"/>
      <c r="D30" s="611"/>
      <c r="E30" s="611"/>
      <c r="F30" s="583"/>
      <c r="G30" s="615"/>
    </row>
    <row r="31" spans="1:7" ht="18.75" thickBot="1">
      <c r="A31" s="616" t="s">
        <v>558</v>
      </c>
      <c r="B31" s="356" t="s">
        <v>520</v>
      </c>
      <c r="C31" s="617">
        <v>0</v>
      </c>
      <c r="D31" s="617">
        <v>0</v>
      </c>
      <c r="E31" s="617"/>
      <c r="F31" s="533"/>
      <c r="G31" s="618">
        <v>66702.27</v>
      </c>
    </row>
    <row r="32" spans="1:7" ht="19.5" thickTop="1" thickBot="1">
      <c r="A32" s="619" t="s">
        <v>71</v>
      </c>
      <c r="B32" s="352"/>
      <c r="C32" s="184">
        <f>SUM(C13:C29)</f>
        <v>3541886.4999999995</v>
      </c>
      <c r="D32" s="184">
        <f>SUM(D13:D31)</f>
        <v>1741595.75</v>
      </c>
      <c r="E32" s="184">
        <f>SUM(E13:E29)</f>
        <v>1859028.0900000003</v>
      </c>
      <c r="F32" s="184">
        <f>SUM(F13:F29)</f>
        <v>3600623.8400000003</v>
      </c>
      <c r="G32" s="620">
        <f>SUM(G13:G31)</f>
        <v>2593431.9500000002</v>
      </c>
    </row>
    <row r="33" spans="1:12" ht="18.75" thickTop="1">
      <c r="A33" s="621" t="s">
        <v>72</v>
      </c>
      <c r="B33" s="622"/>
      <c r="C33" s="623"/>
      <c r="D33" s="623"/>
      <c r="E33" s="623"/>
      <c r="F33" s="624"/>
      <c r="G33" s="625"/>
    </row>
    <row r="34" spans="1:12" ht="18">
      <c r="A34" s="626" t="s">
        <v>75</v>
      </c>
      <c r="B34" s="627" t="s">
        <v>76</v>
      </c>
      <c r="C34" s="628">
        <v>0</v>
      </c>
      <c r="D34" s="628">
        <v>0</v>
      </c>
      <c r="E34" s="179">
        <f t="shared" ref="E34:E44" si="1">F34-D34</f>
        <v>500000</v>
      </c>
      <c r="F34" s="629">
        <v>500000</v>
      </c>
      <c r="G34" s="630">
        <v>300000</v>
      </c>
      <c r="J34" s="558"/>
    </row>
    <row r="35" spans="1:12" ht="18">
      <c r="A35" s="626" t="s">
        <v>224</v>
      </c>
      <c r="B35" s="627" t="s">
        <v>78</v>
      </c>
      <c r="C35" s="628">
        <v>0</v>
      </c>
      <c r="D35" s="628">
        <v>29835</v>
      </c>
      <c r="E35" s="179">
        <f t="shared" si="1"/>
        <v>90165</v>
      </c>
      <c r="F35" s="629">
        <v>120000</v>
      </c>
      <c r="G35" s="630">
        <v>120000</v>
      </c>
    </row>
    <row r="36" spans="1:12" ht="18">
      <c r="A36" s="626" t="s">
        <v>81</v>
      </c>
      <c r="B36" s="627" t="s">
        <v>82</v>
      </c>
      <c r="C36" s="631">
        <v>364680</v>
      </c>
      <c r="D36" s="628">
        <v>0</v>
      </c>
      <c r="E36" s="179">
        <f t="shared" si="1"/>
        <v>125260</v>
      </c>
      <c r="F36" s="629">
        <v>125260</v>
      </c>
      <c r="G36" s="630">
        <v>200000</v>
      </c>
    </row>
    <row r="37" spans="1:12" ht="18">
      <c r="A37" s="626" t="s">
        <v>83</v>
      </c>
      <c r="B37" s="627" t="s">
        <v>84</v>
      </c>
      <c r="C37" s="628">
        <v>0</v>
      </c>
      <c r="D37" s="628">
        <v>0</v>
      </c>
      <c r="E37" s="179">
        <f t="shared" si="1"/>
        <v>60000</v>
      </c>
      <c r="F37" s="629">
        <v>60000</v>
      </c>
      <c r="G37" s="630">
        <v>60000</v>
      </c>
    </row>
    <row r="38" spans="1:12" ht="18">
      <c r="A38" s="626" t="s">
        <v>239</v>
      </c>
      <c r="B38" s="627" t="s">
        <v>94</v>
      </c>
      <c r="C38" s="631">
        <v>3378675</v>
      </c>
      <c r="D38" s="631">
        <v>1817190</v>
      </c>
      <c r="E38" s="179">
        <f t="shared" si="1"/>
        <v>2208810</v>
      </c>
      <c r="F38" s="629">
        <v>4026000</v>
      </c>
      <c r="G38" s="630">
        <v>5108400</v>
      </c>
    </row>
    <row r="39" spans="1:12" ht="18">
      <c r="A39" s="626" t="s">
        <v>100</v>
      </c>
      <c r="B39" s="627" t="s">
        <v>101</v>
      </c>
      <c r="C39" s="628">
        <v>0</v>
      </c>
      <c r="D39" s="628">
        <v>0</v>
      </c>
      <c r="E39" s="179">
        <f t="shared" si="1"/>
        <v>700000</v>
      </c>
      <c r="F39" s="629">
        <v>700000</v>
      </c>
      <c r="G39" s="630">
        <v>800000</v>
      </c>
    </row>
    <row r="40" spans="1:12" ht="36">
      <c r="A40" s="632" t="s">
        <v>306</v>
      </c>
      <c r="B40" s="633" t="s">
        <v>107</v>
      </c>
      <c r="C40" s="634">
        <v>1500000</v>
      </c>
      <c r="D40" s="634">
        <v>0</v>
      </c>
      <c r="E40" s="179">
        <f t="shared" si="1"/>
        <v>0</v>
      </c>
      <c r="F40" s="635">
        <v>0</v>
      </c>
      <c r="G40" s="636">
        <v>0</v>
      </c>
    </row>
    <row r="41" spans="1:12" ht="18">
      <c r="A41" s="626" t="s">
        <v>108</v>
      </c>
      <c r="B41" s="627" t="s">
        <v>109</v>
      </c>
      <c r="C41" s="637"/>
      <c r="D41" s="637">
        <v>0</v>
      </c>
      <c r="E41" s="179">
        <f t="shared" si="1"/>
        <v>0</v>
      </c>
      <c r="F41" s="638"/>
      <c r="G41" s="639" t="s">
        <v>182</v>
      </c>
    </row>
    <row r="42" spans="1:12" ht="18">
      <c r="A42" s="640" t="s">
        <v>305</v>
      </c>
      <c r="B42" s="360"/>
      <c r="C42" s="641">
        <v>0</v>
      </c>
      <c r="D42" s="641">
        <v>0</v>
      </c>
      <c r="E42" s="641">
        <v>0</v>
      </c>
      <c r="F42" s="642">
        <v>0</v>
      </c>
      <c r="G42" s="609">
        <v>1200000</v>
      </c>
    </row>
    <row r="43" spans="1:12" ht="36.75" thickBot="1">
      <c r="A43" s="643" t="s">
        <v>308</v>
      </c>
      <c r="B43" s="644"/>
      <c r="C43" s="645">
        <v>7657500</v>
      </c>
      <c r="D43" s="641">
        <v>0</v>
      </c>
      <c r="E43" s="179">
        <f t="shared" si="1"/>
        <v>7658740</v>
      </c>
      <c r="F43" s="646">
        <v>7658740</v>
      </c>
      <c r="G43" s="647">
        <v>9000000</v>
      </c>
    </row>
    <row r="44" spans="1:12" ht="36.75" thickTop="1">
      <c r="A44" s="643" t="s">
        <v>531</v>
      </c>
      <c r="B44" s="648"/>
      <c r="C44" s="649">
        <v>27650</v>
      </c>
      <c r="D44" s="641">
        <v>0</v>
      </c>
      <c r="E44" s="179">
        <f t="shared" si="1"/>
        <v>100000</v>
      </c>
      <c r="F44" s="646">
        <v>100000</v>
      </c>
      <c r="G44" s="647">
        <v>108000</v>
      </c>
    </row>
    <row r="45" spans="1:12" ht="36">
      <c r="A45" s="650" t="s">
        <v>311</v>
      </c>
      <c r="B45" s="651"/>
      <c r="C45" s="652">
        <v>0</v>
      </c>
      <c r="D45" s="652">
        <v>0</v>
      </c>
      <c r="E45" s="652">
        <v>0</v>
      </c>
      <c r="F45" s="653">
        <v>0</v>
      </c>
      <c r="G45" s="654">
        <v>500000</v>
      </c>
    </row>
    <row r="46" spans="1:12" ht="36.75" thickBot="1">
      <c r="A46" s="643" t="s">
        <v>307</v>
      </c>
      <c r="B46" s="655"/>
      <c r="C46" s="634"/>
      <c r="D46" s="641">
        <v>0</v>
      </c>
      <c r="E46" s="179">
        <f t="shared" ref="E46" si="2">F46-D46</f>
        <v>14000000</v>
      </c>
      <c r="F46" s="646">
        <v>14000000</v>
      </c>
      <c r="G46" s="656">
        <v>0</v>
      </c>
    </row>
    <row r="47" spans="1:12" ht="19.5" thickTop="1" thickBot="1">
      <c r="A47" s="657" t="s">
        <v>162</v>
      </c>
      <c r="B47" s="658"/>
      <c r="C47" s="659">
        <f>SUM(C34:C46)</f>
        <v>12928505</v>
      </c>
      <c r="D47" s="659">
        <f>SUM(D34:D46)</f>
        <v>1847025</v>
      </c>
      <c r="E47" s="659">
        <f>SUM(E34:E46)</f>
        <v>25442975</v>
      </c>
      <c r="F47" s="659">
        <f>SUM(F34:F46)</f>
        <v>27290000</v>
      </c>
      <c r="G47" s="660">
        <f>SUM(G34:G46)</f>
        <v>17396400</v>
      </c>
      <c r="J47" s="558"/>
      <c r="K47" s="558"/>
      <c r="L47" s="558"/>
    </row>
    <row r="48" spans="1:12" ht="18.75" thickTop="1">
      <c r="A48" s="661" t="s">
        <v>163</v>
      </c>
      <c r="B48" s="662"/>
      <c r="C48" s="663"/>
      <c r="D48" s="663"/>
      <c r="E48" s="663"/>
      <c r="F48" s="664"/>
      <c r="G48" s="639"/>
    </row>
    <row r="49" spans="1:10" ht="18">
      <c r="A49" s="626" t="s">
        <v>207</v>
      </c>
      <c r="B49" s="665"/>
      <c r="C49" s="652">
        <v>0</v>
      </c>
      <c r="D49" s="666">
        <v>0</v>
      </c>
      <c r="E49" s="179">
        <f t="shared" ref="E49:E50" si="3">F49-D49</f>
        <v>110000</v>
      </c>
      <c r="F49" s="629">
        <v>110000</v>
      </c>
      <c r="G49" s="630">
        <v>146000</v>
      </c>
    </row>
    <row r="50" spans="1:10" ht="36.75" thickBot="1">
      <c r="A50" s="632" t="s">
        <v>205</v>
      </c>
      <c r="B50" s="665"/>
      <c r="C50" s="667">
        <v>0</v>
      </c>
      <c r="D50" s="668">
        <v>110000</v>
      </c>
      <c r="E50" s="179">
        <f t="shared" si="3"/>
        <v>10000</v>
      </c>
      <c r="F50" s="646">
        <v>120000</v>
      </c>
      <c r="G50" s="647">
        <v>220000</v>
      </c>
      <c r="J50" s="558"/>
    </row>
    <row r="51" spans="1:10" ht="19.5" thickTop="1" thickBot="1">
      <c r="A51" s="657" t="s">
        <v>171</v>
      </c>
      <c r="B51" s="658"/>
      <c r="C51" s="669">
        <v>0</v>
      </c>
      <c r="D51" s="669">
        <v>0</v>
      </c>
      <c r="E51" s="669">
        <f>SUM(E49:E50)</f>
        <v>120000</v>
      </c>
      <c r="F51" s="669">
        <f>SUM(F49:F50)</f>
        <v>230000</v>
      </c>
      <c r="G51" s="660">
        <f>SUM(G49:G50)</f>
        <v>366000</v>
      </c>
    </row>
    <row r="52" spans="1:10" ht="19.5" thickTop="1" thickBot="1">
      <c r="A52" s="670"/>
      <c r="B52" s="671"/>
      <c r="C52" s="672"/>
      <c r="D52" s="672"/>
      <c r="E52" s="672"/>
      <c r="F52" s="673"/>
      <c r="G52" s="674"/>
    </row>
    <row r="53" spans="1:10" ht="18">
      <c r="A53" s="675" t="s">
        <v>172</v>
      </c>
      <c r="B53" s="676"/>
      <c r="C53" s="677"/>
      <c r="D53" s="677"/>
      <c r="E53" s="677"/>
      <c r="F53" s="678"/>
      <c r="G53" s="679"/>
    </row>
    <row r="54" spans="1:10" ht="35.25">
      <c r="A54" s="680" t="s">
        <v>309</v>
      </c>
      <c r="B54" s="681"/>
      <c r="C54" s="651">
        <v>1354918.2</v>
      </c>
      <c r="D54" s="682">
        <v>8250000</v>
      </c>
      <c r="E54" s="682">
        <f>F54-D54</f>
        <v>3883687.76</v>
      </c>
      <c r="F54" s="683">
        <v>12133687.76</v>
      </c>
      <c r="G54" s="684"/>
    </row>
    <row r="55" spans="1:10" ht="36">
      <c r="A55" s="643" t="s">
        <v>307</v>
      </c>
      <c r="B55" s="655"/>
      <c r="C55" s="634"/>
      <c r="D55" s="641">
        <v>0</v>
      </c>
      <c r="E55" s="641">
        <v>0</v>
      </c>
      <c r="F55" s="642">
        <v>0</v>
      </c>
      <c r="G55" s="654">
        <f>12351000+335295.4</f>
        <v>12686295.4</v>
      </c>
    </row>
    <row r="56" spans="1:10" ht="18.75" thickBot="1">
      <c r="A56" s="643" t="s">
        <v>310</v>
      </c>
      <c r="B56" s="655"/>
      <c r="C56" s="634"/>
      <c r="D56" s="641">
        <v>0</v>
      </c>
      <c r="E56" s="641">
        <v>0</v>
      </c>
      <c r="F56" s="653">
        <v>0</v>
      </c>
      <c r="G56" s="654">
        <v>2000000</v>
      </c>
    </row>
    <row r="57" spans="1:10" ht="19.5" thickTop="1" thickBot="1">
      <c r="A57" s="657" t="s">
        <v>219</v>
      </c>
      <c r="B57" s="685"/>
      <c r="C57" s="685">
        <f>SUM(C54:C56)</f>
        <v>1354918.2</v>
      </c>
      <c r="D57" s="685">
        <f>SUM(D54:D56)</f>
        <v>8250000</v>
      </c>
      <c r="E57" s="685">
        <f>SUM(E54:E56)</f>
        <v>3883687.76</v>
      </c>
      <c r="F57" s="685">
        <f>SUM(F54:F56)</f>
        <v>12133687.76</v>
      </c>
      <c r="G57" s="686">
        <f>SUM(G54:G56)</f>
        <v>14686295.4</v>
      </c>
    </row>
    <row r="58" spans="1:10" ht="19.5" thickTop="1" thickBot="1">
      <c r="A58" s="687" t="s">
        <v>181</v>
      </c>
      <c r="B58" s="688"/>
      <c r="C58" s="689">
        <f>SUM(C32+C47+C51+C57)</f>
        <v>17825309.699999999</v>
      </c>
      <c r="D58" s="689">
        <f>SUM(D32+D47+D51+D57)</f>
        <v>11838620.75</v>
      </c>
      <c r="E58" s="689">
        <f>SUM(E32+E47+E51+E57)</f>
        <v>31305690.850000001</v>
      </c>
      <c r="F58" s="689">
        <f>SUM(F32+F47+F51+F57)</f>
        <v>43254311.600000001</v>
      </c>
      <c r="G58" s="690">
        <f>SUM(G32+G47+G51+G57)</f>
        <v>35042127.350000001</v>
      </c>
    </row>
    <row r="59" spans="1:10" ht="18.75" thickTop="1">
      <c r="A59" s="518"/>
      <c r="B59" s="516"/>
      <c r="C59" s="691"/>
      <c r="D59" s="691"/>
      <c r="E59" s="691"/>
      <c r="F59" s="691"/>
      <c r="G59" s="691"/>
      <c r="J59" s="692"/>
    </row>
    <row r="60" spans="1:10" ht="15.75">
      <c r="A60" s="693"/>
      <c r="B60" s="693"/>
      <c r="C60" s="694"/>
      <c r="D60" s="694"/>
      <c r="E60" s="694"/>
      <c r="F60" s="693"/>
      <c r="G60" s="693"/>
    </row>
    <row r="61" spans="1:10" ht="18">
      <c r="A61" s="515" t="s">
        <v>183</v>
      </c>
      <c r="B61" s="515" t="s">
        <v>184</v>
      </c>
      <c r="C61" s="515"/>
      <c r="D61" s="515"/>
      <c r="E61" s="515"/>
      <c r="F61" s="515" t="s">
        <v>185</v>
      </c>
      <c r="G61" s="515"/>
    </row>
    <row r="62" spans="1:10" ht="18">
      <c r="A62" s="515"/>
      <c r="B62" s="515"/>
      <c r="C62" s="515"/>
      <c r="D62" s="515"/>
      <c r="E62" s="515"/>
      <c r="F62" s="515"/>
      <c r="G62" s="515"/>
    </row>
    <row r="63" spans="1:10" ht="18">
      <c r="A63" s="515"/>
      <c r="B63" s="515"/>
      <c r="C63" s="515"/>
      <c r="D63" s="515"/>
      <c r="E63" s="515"/>
      <c r="F63" s="515"/>
      <c r="G63" s="515"/>
    </row>
    <row r="64" spans="1:10" ht="18">
      <c r="A64" s="518" t="s">
        <v>687</v>
      </c>
      <c r="B64" s="1282" t="s">
        <v>187</v>
      </c>
      <c r="C64" s="1283"/>
      <c r="D64" s="1283"/>
      <c r="E64" s="696"/>
      <c r="F64" s="1282" t="s">
        <v>188</v>
      </c>
      <c r="G64" s="1283"/>
    </row>
    <row r="65" spans="1:7" ht="18">
      <c r="A65" s="520" t="s">
        <v>688</v>
      </c>
      <c r="B65" s="1284" t="s">
        <v>190</v>
      </c>
      <c r="C65" s="1283"/>
      <c r="D65" s="1283"/>
      <c r="E65" s="697"/>
      <c r="F65" s="1285" t="s">
        <v>191</v>
      </c>
      <c r="G65" s="1283"/>
    </row>
    <row r="66" spans="1:7" ht="18">
      <c r="A66" s="317"/>
      <c r="B66" s="317"/>
      <c r="C66" s="577"/>
      <c r="D66" s="577"/>
      <c r="E66" s="577"/>
      <c r="F66" s="317"/>
      <c r="G66" s="317"/>
    </row>
    <row r="67" spans="1:7" ht="18">
      <c r="A67" s="317"/>
      <c r="B67" s="317"/>
      <c r="C67" s="577"/>
      <c r="D67" s="577"/>
      <c r="E67" s="577"/>
      <c r="F67" s="317"/>
      <c r="G67" s="317"/>
    </row>
    <row r="69" spans="1:7" ht="16.5">
      <c r="A69" s="1238" t="s">
        <v>194</v>
      </c>
      <c r="B69" s="1238"/>
      <c r="C69" s="1238"/>
      <c r="D69" s="1238"/>
      <c r="E69" s="1238"/>
      <c r="F69" s="1238"/>
      <c r="G69" s="1238"/>
    </row>
    <row r="70" spans="1:7" ht="18">
      <c r="A70" s="317"/>
      <c r="B70" s="317"/>
      <c r="C70" s="577"/>
      <c r="D70" s="577"/>
      <c r="E70" s="577"/>
      <c r="F70" s="317"/>
      <c r="G70" s="317"/>
    </row>
    <row r="71" spans="1:7" ht="18">
      <c r="A71" s="317"/>
      <c r="B71" s="317"/>
      <c r="C71" s="577"/>
      <c r="D71" s="577"/>
      <c r="E71" s="577"/>
      <c r="F71" s="317"/>
      <c r="G71" s="317"/>
    </row>
    <row r="72" spans="1:7" ht="18">
      <c r="A72" s="317"/>
      <c r="B72" s="317"/>
      <c r="C72" s="577"/>
      <c r="D72" s="577"/>
      <c r="E72" s="577"/>
      <c r="F72" s="317"/>
      <c r="G72" s="317"/>
    </row>
    <row r="73" spans="1:7" ht="18">
      <c r="A73" s="317"/>
      <c r="B73" s="317"/>
      <c r="C73" s="577"/>
      <c r="D73" s="577"/>
      <c r="E73" s="577"/>
      <c r="F73" s="317"/>
      <c r="G73" s="317"/>
    </row>
    <row r="74" spans="1:7" ht="18">
      <c r="A74" s="317"/>
      <c r="B74" s="317"/>
      <c r="C74" s="577"/>
      <c r="D74" s="577"/>
      <c r="E74" s="577"/>
      <c r="F74" s="317"/>
      <c r="G74" s="317"/>
    </row>
    <row r="75" spans="1:7" ht="18">
      <c r="A75" s="317"/>
      <c r="B75" s="317"/>
      <c r="C75" s="577"/>
      <c r="D75" s="577"/>
      <c r="E75" s="577"/>
      <c r="F75" s="317"/>
      <c r="G75" s="317"/>
    </row>
    <row r="76" spans="1:7" ht="18">
      <c r="A76" s="317"/>
      <c r="B76" s="317"/>
      <c r="C76" s="577"/>
      <c r="D76" s="577"/>
      <c r="E76" s="577"/>
      <c r="F76" s="317"/>
      <c r="G76" s="317"/>
    </row>
    <row r="77" spans="1:7" ht="18">
      <c r="A77" s="317"/>
      <c r="B77" s="317"/>
      <c r="C77" s="577"/>
      <c r="D77" s="577"/>
      <c r="E77" s="577"/>
      <c r="F77" s="317"/>
      <c r="G77" s="317"/>
    </row>
    <row r="78" spans="1:7" ht="18">
      <c r="A78" s="317"/>
      <c r="B78" s="317"/>
      <c r="C78" s="577"/>
      <c r="D78" s="577"/>
      <c r="E78" s="577"/>
      <c r="F78" s="317"/>
      <c r="G78" s="317"/>
    </row>
    <row r="79" spans="1:7" ht="18">
      <c r="A79" s="317"/>
      <c r="B79" s="317"/>
      <c r="C79" s="577"/>
      <c r="D79" s="577"/>
      <c r="E79" s="577"/>
      <c r="F79" s="317"/>
      <c r="G79" s="317"/>
    </row>
    <row r="80" spans="1:7" ht="18">
      <c r="A80" s="317"/>
      <c r="B80" s="317"/>
      <c r="C80" s="577"/>
      <c r="D80" s="577"/>
      <c r="E80" s="577"/>
      <c r="F80" s="317"/>
      <c r="G80" s="317"/>
    </row>
    <row r="81" spans="1:7" ht="18">
      <c r="A81" s="317"/>
      <c r="B81" s="317"/>
      <c r="C81" s="577"/>
      <c r="D81" s="577"/>
      <c r="E81" s="577"/>
      <c r="F81" s="317"/>
      <c r="G81" s="317"/>
    </row>
    <row r="82" spans="1:7" ht="18">
      <c r="A82" s="317"/>
      <c r="B82" s="317"/>
      <c r="C82" s="577"/>
      <c r="D82" s="577"/>
      <c r="E82" s="577"/>
      <c r="F82" s="317"/>
      <c r="G82" s="317"/>
    </row>
    <row r="83" spans="1:7" ht="18">
      <c r="A83" s="317"/>
      <c r="B83" s="317"/>
      <c r="C83" s="577"/>
      <c r="D83" s="577"/>
      <c r="E83" s="577"/>
      <c r="F83" s="317"/>
      <c r="G83" s="317"/>
    </row>
    <row r="84" spans="1:7" ht="18">
      <c r="A84" s="317"/>
      <c r="B84" s="317"/>
      <c r="C84" s="577"/>
      <c r="D84" s="577"/>
      <c r="E84" s="577"/>
      <c r="F84" s="317"/>
      <c r="G84" s="317"/>
    </row>
    <row r="85" spans="1:7" ht="18">
      <c r="A85" s="317"/>
      <c r="B85" s="317"/>
      <c r="C85" s="577"/>
      <c r="D85" s="577"/>
      <c r="E85" s="577"/>
      <c r="F85" s="317"/>
      <c r="G85" s="317"/>
    </row>
    <row r="86" spans="1:7" ht="18">
      <c r="A86" s="317"/>
      <c r="B86" s="317"/>
      <c r="C86" s="577"/>
      <c r="D86" s="577"/>
      <c r="E86" s="577"/>
      <c r="F86" s="317"/>
      <c r="G86" s="317"/>
    </row>
    <row r="87" spans="1:7" ht="18">
      <c r="A87" s="317"/>
      <c r="B87" s="317"/>
      <c r="C87" s="577"/>
      <c r="D87" s="577"/>
      <c r="E87" s="577"/>
      <c r="F87" s="317"/>
      <c r="G87" s="317"/>
    </row>
    <row r="88" spans="1:7" ht="18">
      <c r="A88" s="317"/>
      <c r="B88" s="317"/>
      <c r="C88" s="577"/>
      <c r="D88" s="577"/>
      <c r="E88" s="577"/>
      <c r="F88" s="317"/>
      <c r="G88" s="317"/>
    </row>
    <row r="89" spans="1:7" ht="18">
      <c r="A89" s="317"/>
      <c r="B89" s="317"/>
      <c r="C89" s="577"/>
      <c r="D89" s="577"/>
      <c r="E89" s="577"/>
      <c r="F89" s="317"/>
      <c r="G89" s="317"/>
    </row>
    <row r="90" spans="1:7" ht="18">
      <c r="A90" s="317"/>
      <c r="B90" s="317"/>
      <c r="C90" s="577"/>
      <c r="D90" s="577"/>
      <c r="E90" s="577"/>
      <c r="F90" s="317"/>
      <c r="G90" s="317"/>
    </row>
    <row r="91" spans="1:7" ht="18">
      <c r="A91" s="317"/>
      <c r="B91" s="317"/>
      <c r="C91" s="577"/>
      <c r="D91" s="577"/>
      <c r="E91" s="577"/>
      <c r="F91" s="317"/>
      <c r="G91" s="317"/>
    </row>
    <row r="92" spans="1:7" ht="18">
      <c r="A92" s="317"/>
      <c r="B92" s="317"/>
      <c r="C92" s="577"/>
      <c r="D92" s="577"/>
      <c r="E92" s="577"/>
      <c r="F92" s="317"/>
      <c r="G92" s="317"/>
    </row>
    <row r="93" spans="1:7" ht="18">
      <c r="A93" s="317"/>
      <c r="B93" s="317"/>
      <c r="C93" s="577"/>
      <c r="D93" s="577"/>
      <c r="E93" s="577"/>
      <c r="F93" s="317"/>
      <c r="G93" s="317"/>
    </row>
    <row r="94" spans="1:7" ht="18">
      <c r="A94" s="317"/>
      <c r="B94" s="317"/>
      <c r="C94" s="577"/>
      <c r="D94" s="577"/>
      <c r="E94" s="577"/>
      <c r="F94" s="317"/>
      <c r="G94" s="317"/>
    </row>
    <row r="95" spans="1:7" ht="18">
      <c r="A95" s="317"/>
      <c r="B95" s="317"/>
      <c r="C95" s="577"/>
      <c r="D95" s="577"/>
      <c r="E95" s="577"/>
      <c r="F95" s="317"/>
      <c r="G95" s="317"/>
    </row>
    <row r="96" spans="1:7" ht="18">
      <c r="A96" s="317"/>
      <c r="B96" s="317"/>
      <c r="C96" s="577"/>
      <c r="D96" s="577"/>
      <c r="E96" s="577"/>
      <c r="F96" s="317"/>
      <c r="G96" s="317"/>
    </row>
    <row r="97" spans="1:7" ht="18">
      <c r="A97" s="317"/>
      <c r="B97" s="317"/>
      <c r="C97" s="577"/>
      <c r="D97" s="577"/>
      <c r="E97" s="577"/>
      <c r="F97" s="317"/>
      <c r="G97" s="317"/>
    </row>
    <row r="98" spans="1:7" ht="18">
      <c r="A98" s="317"/>
      <c r="B98" s="317"/>
      <c r="C98" s="577"/>
      <c r="D98" s="577"/>
      <c r="E98" s="577"/>
      <c r="F98" s="317"/>
      <c r="G98" s="317"/>
    </row>
    <row r="99" spans="1:7" ht="18">
      <c r="A99" s="317"/>
      <c r="B99" s="317"/>
      <c r="C99" s="577"/>
      <c r="D99" s="577"/>
      <c r="E99" s="577"/>
      <c r="F99" s="317"/>
      <c r="G99" s="317"/>
    </row>
    <row r="100" spans="1:7" ht="18">
      <c r="A100" s="317"/>
      <c r="B100" s="317"/>
      <c r="C100" s="577"/>
      <c r="D100" s="577"/>
      <c r="E100" s="577"/>
      <c r="F100" s="317"/>
      <c r="G100" s="317"/>
    </row>
    <row r="101" spans="1:7" ht="18">
      <c r="A101" s="317"/>
      <c r="B101" s="317"/>
      <c r="C101" s="577"/>
      <c r="D101" s="577"/>
      <c r="E101" s="577"/>
      <c r="F101" s="317"/>
      <c r="G101" s="317"/>
    </row>
    <row r="102" spans="1:7" ht="18">
      <c r="A102" s="317"/>
      <c r="B102" s="317"/>
      <c r="C102" s="577"/>
      <c r="D102" s="577"/>
      <c r="E102" s="577"/>
      <c r="F102" s="317"/>
      <c r="G102" s="317"/>
    </row>
    <row r="103" spans="1:7" ht="18">
      <c r="A103" s="317"/>
      <c r="B103" s="317"/>
      <c r="C103" s="577"/>
      <c r="D103" s="577"/>
      <c r="E103" s="577"/>
      <c r="F103" s="317"/>
      <c r="G103" s="317"/>
    </row>
    <row r="104" spans="1:7" ht="18">
      <c r="A104" s="317"/>
      <c r="B104" s="317"/>
      <c r="C104" s="577"/>
      <c r="D104" s="577"/>
      <c r="E104" s="577"/>
      <c r="F104" s="317"/>
      <c r="G104" s="317"/>
    </row>
    <row r="105" spans="1:7" ht="18">
      <c r="A105" s="317"/>
      <c r="B105" s="317"/>
      <c r="C105" s="577"/>
      <c r="D105" s="577"/>
      <c r="E105" s="577"/>
      <c r="F105" s="317"/>
      <c r="G105" s="317"/>
    </row>
    <row r="106" spans="1:7" ht="18">
      <c r="A106" s="317"/>
      <c r="B106" s="317"/>
      <c r="C106" s="577"/>
      <c r="D106" s="577"/>
      <c r="E106" s="577"/>
      <c r="F106" s="317"/>
      <c r="G106" s="317"/>
    </row>
    <row r="107" spans="1:7" ht="18">
      <c r="A107" s="317"/>
      <c r="B107" s="317"/>
      <c r="C107" s="577"/>
      <c r="D107" s="577"/>
      <c r="E107" s="577"/>
      <c r="F107" s="317"/>
      <c r="G107" s="317"/>
    </row>
    <row r="108" spans="1:7" ht="18">
      <c r="A108" s="317"/>
      <c r="B108" s="317"/>
      <c r="C108" s="577"/>
      <c r="D108" s="577"/>
      <c r="E108" s="577"/>
      <c r="F108" s="317"/>
      <c r="G108" s="317"/>
    </row>
    <row r="109" spans="1:7" ht="18">
      <c r="A109" s="317"/>
      <c r="B109" s="317"/>
      <c r="C109" s="577"/>
      <c r="D109" s="577"/>
      <c r="E109" s="577"/>
      <c r="F109" s="317"/>
      <c r="G109" s="317"/>
    </row>
    <row r="110" spans="1:7" ht="18">
      <c r="A110" s="317"/>
      <c r="B110" s="317"/>
      <c r="C110" s="577"/>
      <c r="D110" s="577"/>
      <c r="E110" s="577"/>
      <c r="F110" s="317"/>
      <c r="G110" s="317"/>
    </row>
    <row r="111" spans="1:7" ht="18">
      <c r="A111" s="317"/>
      <c r="B111" s="317"/>
      <c r="C111" s="577"/>
      <c r="D111" s="577"/>
      <c r="E111" s="577"/>
      <c r="F111" s="317"/>
      <c r="G111" s="317"/>
    </row>
    <row r="112" spans="1:7" ht="18">
      <c r="A112" s="317"/>
      <c r="B112" s="317"/>
      <c r="C112" s="577"/>
      <c r="D112" s="577"/>
      <c r="E112" s="577"/>
      <c r="F112" s="317"/>
      <c r="G112" s="317"/>
    </row>
    <row r="113" spans="1:7" ht="18">
      <c r="A113" s="317"/>
      <c r="B113" s="317"/>
      <c r="C113" s="577"/>
      <c r="D113" s="577"/>
      <c r="E113" s="577"/>
      <c r="F113" s="317"/>
      <c r="G113" s="317"/>
    </row>
    <row r="114" spans="1:7" ht="18">
      <c r="A114" s="317"/>
      <c r="B114" s="317"/>
      <c r="C114" s="577"/>
      <c r="D114" s="577"/>
      <c r="E114" s="577"/>
      <c r="F114" s="317"/>
      <c r="G114" s="317"/>
    </row>
    <row r="115" spans="1:7" ht="18">
      <c r="A115" s="317"/>
      <c r="B115" s="317"/>
      <c r="C115" s="577"/>
      <c r="D115" s="577"/>
      <c r="E115" s="577"/>
      <c r="F115" s="317"/>
      <c r="G115" s="317"/>
    </row>
    <row r="116" spans="1:7" ht="18">
      <c r="A116" s="317"/>
      <c r="B116" s="317"/>
      <c r="C116" s="577"/>
      <c r="D116" s="577"/>
      <c r="E116" s="577"/>
      <c r="F116" s="317"/>
      <c r="G116" s="317"/>
    </row>
    <row r="117" spans="1:7" ht="18">
      <c r="A117" s="317"/>
      <c r="B117" s="317"/>
      <c r="C117" s="577"/>
      <c r="D117" s="577"/>
      <c r="E117" s="577"/>
      <c r="F117" s="317"/>
      <c r="G117" s="317"/>
    </row>
    <row r="118" spans="1:7" ht="18">
      <c r="A118" s="317"/>
      <c r="B118" s="317"/>
      <c r="C118" s="577"/>
      <c r="D118" s="577"/>
      <c r="E118" s="577"/>
      <c r="F118" s="317"/>
      <c r="G118" s="317"/>
    </row>
    <row r="119" spans="1:7" ht="18">
      <c r="A119" s="317"/>
      <c r="B119" s="317"/>
      <c r="C119" s="577"/>
      <c r="D119" s="577"/>
      <c r="E119" s="577"/>
      <c r="F119" s="317"/>
      <c r="G119" s="317"/>
    </row>
    <row r="120" spans="1:7" ht="18">
      <c r="A120" s="317"/>
      <c r="B120" s="317"/>
      <c r="C120" s="577"/>
      <c r="D120" s="577"/>
      <c r="E120" s="577"/>
      <c r="F120" s="317"/>
      <c r="G120" s="317"/>
    </row>
    <row r="121" spans="1:7" ht="18">
      <c r="A121" s="317"/>
      <c r="B121" s="317"/>
      <c r="C121" s="577"/>
      <c r="D121" s="577"/>
      <c r="E121" s="577"/>
      <c r="F121" s="317"/>
      <c r="G121" s="317"/>
    </row>
    <row r="122" spans="1:7" ht="18">
      <c r="A122" s="317"/>
      <c r="B122" s="317"/>
      <c r="C122" s="577"/>
      <c r="D122" s="577"/>
      <c r="E122" s="577"/>
      <c r="F122" s="317"/>
      <c r="G122" s="317"/>
    </row>
    <row r="123" spans="1:7" ht="18">
      <c r="A123" s="317"/>
      <c r="B123" s="317"/>
      <c r="C123" s="577"/>
      <c r="D123" s="577"/>
      <c r="E123" s="577"/>
      <c r="F123" s="317"/>
      <c r="G123" s="317"/>
    </row>
    <row r="124" spans="1:7" ht="18">
      <c r="A124" s="317"/>
      <c r="B124" s="317"/>
      <c r="C124" s="577"/>
      <c r="D124" s="577"/>
      <c r="E124" s="577"/>
      <c r="F124" s="317"/>
      <c r="G124" s="317"/>
    </row>
    <row r="125" spans="1:7" ht="18">
      <c r="A125" s="317"/>
      <c r="B125" s="317"/>
      <c r="C125" s="577"/>
      <c r="D125" s="577"/>
      <c r="E125" s="577"/>
      <c r="F125" s="317"/>
      <c r="G125" s="317"/>
    </row>
    <row r="126" spans="1:7" ht="18">
      <c r="A126" s="317"/>
      <c r="B126" s="317"/>
      <c r="C126" s="577"/>
      <c r="D126" s="577"/>
      <c r="E126" s="577"/>
      <c r="F126" s="317"/>
      <c r="G126" s="317"/>
    </row>
    <row r="127" spans="1:7" ht="18">
      <c r="A127" s="317"/>
      <c r="B127" s="317"/>
      <c r="C127" s="577"/>
      <c r="D127" s="577"/>
      <c r="E127" s="577"/>
      <c r="F127" s="317"/>
      <c r="G127" s="317"/>
    </row>
    <row r="128" spans="1:7" ht="18">
      <c r="A128" s="317"/>
      <c r="B128" s="317"/>
      <c r="C128" s="577"/>
      <c r="D128" s="577"/>
      <c r="E128" s="577"/>
      <c r="F128" s="317"/>
      <c r="G128" s="317"/>
    </row>
    <row r="129" spans="1:7" ht="18">
      <c r="A129" s="317"/>
      <c r="B129" s="317"/>
      <c r="C129" s="577"/>
      <c r="D129" s="577"/>
      <c r="E129" s="577"/>
      <c r="F129" s="317"/>
      <c r="G129" s="317"/>
    </row>
    <row r="130" spans="1:7" ht="18">
      <c r="A130" s="317"/>
      <c r="B130" s="317"/>
      <c r="C130" s="577"/>
      <c r="D130" s="577"/>
      <c r="E130" s="577"/>
      <c r="F130" s="317"/>
      <c r="G130" s="317"/>
    </row>
    <row r="131" spans="1:7" ht="18">
      <c r="A131" s="317"/>
      <c r="B131" s="317"/>
      <c r="C131" s="577"/>
      <c r="D131" s="577"/>
      <c r="E131" s="577"/>
      <c r="F131" s="317"/>
      <c r="G131" s="317"/>
    </row>
    <row r="132" spans="1:7" ht="18">
      <c r="A132" s="317"/>
      <c r="B132" s="317"/>
      <c r="C132" s="577"/>
      <c r="D132" s="577"/>
      <c r="E132" s="577"/>
      <c r="F132" s="317"/>
      <c r="G132" s="317"/>
    </row>
    <row r="133" spans="1:7" ht="18">
      <c r="A133" s="317"/>
      <c r="B133" s="317"/>
      <c r="C133" s="577"/>
      <c r="D133" s="577"/>
      <c r="E133" s="577"/>
      <c r="F133" s="317"/>
      <c r="G133" s="317"/>
    </row>
    <row r="134" spans="1:7" ht="18">
      <c r="A134" s="317"/>
      <c r="B134" s="317"/>
      <c r="C134" s="577"/>
      <c r="D134" s="577"/>
      <c r="E134" s="577"/>
      <c r="F134" s="317"/>
      <c r="G134" s="317"/>
    </row>
    <row r="135" spans="1:7" ht="18">
      <c r="A135" s="317"/>
      <c r="B135" s="317"/>
      <c r="C135" s="577"/>
      <c r="D135" s="577"/>
      <c r="E135" s="577"/>
      <c r="F135" s="317"/>
      <c r="G135" s="317"/>
    </row>
    <row r="136" spans="1:7" ht="18">
      <c r="A136" s="317"/>
      <c r="B136" s="317"/>
      <c r="C136" s="577"/>
      <c r="D136" s="577"/>
      <c r="E136" s="577"/>
      <c r="F136" s="317"/>
      <c r="G136" s="317"/>
    </row>
    <row r="137" spans="1:7" ht="18">
      <c r="A137" s="317"/>
      <c r="B137" s="317"/>
      <c r="C137" s="577"/>
      <c r="D137" s="577"/>
      <c r="E137" s="577"/>
      <c r="F137" s="317"/>
      <c r="G137" s="317"/>
    </row>
    <row r="138" spans="1:7" ht="18">
      <c r="A138" s="317"/>
      <c r="B138" s="317"/>
      <c r="C138" s="577"/>
      <c r="D138" s="577"/>
      <c r="E138" s="577"/>
      <c r="F138" s="317"/>
      <c r="G138" s="317"/>
    </row>
    <row r="139" spans="1:7" ht="18">
      <c r="A139" s="317"/>
      <c r="B139" s="317"/>
      <c r="C139" s="577"/>
      <c r="D139" s="577"/>
      <c r="E139" s="577"/>
      <c r="F139" s="317"/>
      <c r="G139" s="317"/>
    </row>
    <row r="140" spans="1:7" ht="18">
      <c r="A140" s="317"/>
      <c r="B140" s="317"/>
      <c r="C140" s="577"/>
      <c r="D140" s="577"/>
      <c r="E140" s="577"/>
      <c r="F140" s="317"/>
      <c r="G140" s="317"/>
    </row>
    <row r="141" spans="1:7" ht="18">
      <c r="A141" s="317"/>
      <c r="B141" s="317"/>
      <c r="C141" s="577"/>
      <c r="D141" s="577"/>
      <c r="E141" s="577"/>
      <c r="F141" s="317"/>
      <c r="G141" s="317"/>
    </row>
    <row r="142" spans="1:7" ht="18">
      <c r="A142" s="317"/>
      <c r="B142" s="317"/>
      <c r="C142" s="577"/>
      <c r="D142" s="577"/>
      <c r="E142" s="577"/>
      <c r="F142" s="317"/>
      <c r="G142" s="317"/>
    </row>
    <row r="143" spans="1:7" ht="18">
      <c r="A143" s="317"/>
      <c r="B143" s="317"/>
      <c r="C143" s="577"/>
      <c r="D143" s="577"/>
      <c r="E143" s="577"/>
      <c r="F143" s="317"/>
      <c r="G143" s="317"/>
    </row>
    <row r="144" spans="1:7" ht="18">
      <c r="A144" s="317"/>
      <c r="B144" s="317"/>
      <c r="C144" s="577"/>
      <c r="D144" s="577"/>
      <c r="E144" s="577"/>
      <c r="F144" s="317"/>
      <c r="G144" s="317"/>
    </row>
    <row r="145" spans="1:7" ht="18">
      <c r="A145" s="317"/>
      <c r="B145" s="317"/>
      <c r="C145" s="577"/>
      <c r="D145" s="577"/>
      <c r="E145" s="577"/>
      <c r="F145" s="317"/>
      <c r="G145" s="317"/>
    </row>
    <row r="146" spans="1:7" ht="18">
      <c r="A146" s="317"/>
      <c r="B146" s="317"/>
      <c r="C146" s="577"/>
      <c r="D146" s="577"/>
      <c r="E146" s="577"/>
      <c r="F146" s="317"/>
      <c r="G146" s="317"/>
    </row>
    <row r="147" spans="1:7" ht="18">
      <c r="A147" s="317"/>
      <c r="B147" s="317"/>
      <c r="C147" s="577"/>
      <c r="D147" s="577"/>
      <c r="E147" s="577"/>
      <c r="F147" s="317"/>
      <c r="G147" s="317"/>
    </row>
    <row r="148" spans="1:7" ht="18">
      <c r="A148" s="317"/>
      <c r="B148" s="317"/>
      <c r="C148" s="577"/>
      <c r="D148" s="577"/>
      <c r="E148" s="577"/>
      <c r="F148" s="317"/>
      <c r="G148" s="317"/>
    </row>
    <row r="149" spans="1:7" ht="18">
      <c r="A149" s="317"/>
      <c r="B149" s="317"/>
      <c r="C149" s="577"/>
      <c r="D149" s="577"/>
      <c r="E149" s="577"/>
      <c r="F149" s="317"/>
      <c r="G149" s="317"/>
    </row>
    <row r="150" spans="1:7" ht="18">
      <c r="A150" s="317"/>
      <c r="B150" s="317"/>
      <c r="C150" s="577"/>
      <c r="D150" s="577"/>
      <c r="E150" s="577"/>
      <c r="F150" s="317"/>
      <c r="G150" s="317"/>
    </row>
    <row r="151" spans="1:7" ht="18">
      <c r="A151" s="317"/>
      <c r="B151" s="317"/>
      <c r="C151" s="577"/>
      <c r="D151" s="577"/>
      <c r="E151" s="577"/>
      <c r="F151" s="317"/>
      <c r="G151" s="317"/>
    </row>
    <row r="152" spans="1:7" ht="18">
      <c r="A152" s="317"/>
      <c r="B152" s="317"/>
      <c r="C152" s="577"/>
      <c r="D152" s="577"/>
      <c r="E152" s="577"/>
      <c r="F152" s="317"/>
      <c r="G152" s="317"/>
    </row>
    <row r="153" spans="1:7" ht="18">
      <c r="A153" s="317"/>
      <c r="B153" s="317"/>
      <c r="C153" s="577"/>
      <c r="D153" s="577"/>
      <c r="E153" s="577"/>
      <c r="F153" s="317"/>
      <c r="G153" s="317"/>
    </row>
    <row r="154" spans="1:7" ht="18">
      <c r="A154" s="317"/>
      <c r="B154" s="317"/>
      <c r="C154" s="577"/>
      <c r="D154" s="577"/>
      <c r="E154" s="577"/>
      <c r="F154" s="317"/>
      <c r="G154" s="317"/>
    </row>
    <row r="155" spans="1:7" ht="18">
      <c r="A155" s="317"/>
      <c r="B155" s="317"/>
      <c r="C155" s="577"/>
      <c r="D155" s="577"/>
      <c r="E155" s="577"/>
      <c r="F155" s="317"/>
      <c r="G155" s="317"/>
    </row>
    <row r="156" spans="1:7" ht="18">
      <c r="A156" s="317"/>
      <c r="B156" s="317"/>
      <c r="C156" s="577"/>
      <c r="D156" s="577"/>
      <c r="E156" s="577"/>
      <c r="F156" s="317"/>
      <c r="G156" s="317"/>
    </row>
    <row r="157" spans="1:7" ht="18">
      <c r="A157" s="317"/>
      <c r="B157" s="317"/>
      <c r="C157" s="577"/>
      <c r="D157" s="577"/>
      <c r="E157" s="577"/>
      <c r="F157" s="317"/>
      <c r="G157" s="317"/>
    </row>
    <row r="158" spans="1:7" ht="18">
      <c r="A158" s="317"/>
      <c r="B158" s="317"/>
      <c r="C158" s="577"/>
      <c r="D158" s="577"/>
      <c r="E158" s="577"/>
      <c r="F158" s="317"/>
      <c r="G158" s="317"/>
    </row>
    <row r="159" spans="1:7" ht="18">
      <c r="A159" s="317"/>
      <c r="B159" s="317"/>
      <c r="C159" s="577"/>
      <c r="D159" s="577"/>
      <c r="E159" s="577"/>
      <c r="F159" s="317"/>
      <c r="G159" s="317"/>
    </row>
    <row r="160" spans="1:7" ht="18">
      <c r="A160" s="317"/>
      <c r="B160" s="317"/>
      <c r="C160" s="577"/>
      <c r="D160" s="577"/>
      <c r="E160" s="577"/>
      <c r="F160" s="317"/>
      <c r="G160" s="317"/>
    </row>
    <row r="161" spans="1:7" ht="18">
      <c r="A161" s="317"/>
      <c r="B161" s="317"/>
      <c r="C161" s="577"/>
      <c r="D161" s="577"/>
      <c r="E161" s="577"/>
      <c r="F161" s="317"/>
      <c r="G161" s="317"/>
    </row>
    <row r="162" spans="1:7" ht="18">
      <c r="A162" s="317"/>
      <c r="B162" s="317"/>
      <c r="C162" s="577"/>
      <c r="D162" s="577"/>
      <c r="E162" s="577"/>
      <c r="F162" s="317"/>
      <c r="G162" s="317"/>
    </row>
    <row r="163" spans="1:7" ht="18">
      <c r="A163" s="317"/>
      <c r="B163" s="317"/>
      <c r="C163" s="577"/>
      <c r="D163" s="577"/>
      <c r="E163" s="577"/>
      <c r="F163" s="317"/>
      <c r="G163" s="317"/>
    </row>
    <row r="164" spans="1:7" ht="18">
      <c r="A164" s="317"/>
      <c r="B164" s="317"/>
      <c r="C164" s="577"/>
      <c r="D164" s="577"/>
      <c r="E164" s="577"/>
      <c r="F164" s="317"/>
      <c r="G164" s="317"/>
    </row>
    <row r="165" spans="1:7" ht="18">
      <c r="A165" s="317"/>
      <c r="B165" s="317"/>
      <c r="C165" s="577"/>
      <c r="D165" s="577"/>
      <c r="E165" s="577"/>
      <c r="F165" s="317"/>
      <c r="G165" s="317"/>
    </row>
    <row r="166" spans="1:7" ht="18">
      <c r="A166" s="317"/>
      <c r="B166" s="317"/>
      <c r="C166" s="577"/>
      <c r="D166" s="577"/>
      <c r="E166" s="577"/>
      <c r="F166" s="317"/>
      <c r="G166" s="317"/>
    </row>
    <row r="167" spans="1:7" ht="18">
      <c r="A167" s="317"/>
      <c r="B167" s="317"/>
      <c r="C167" s="577"/>
      <c r="D167" s="577"/>
      <c r="E167" s="577"/>
      <c r="F167" s="317"/>
      <c r="G167" s="317"/>
    </row>
    <row r="168" spans="1:7" ht="18">
      <c r="A168" s="317"/>
      <c r="B168" s="317"/>
      <c r="C168" s="577"/>
      <c r="D168" s="577"/>
      <c r="E168" s="577"/>
      <c r="F168" s="317"/>
      <c r="G168" s="317"/>
    </row>
    <row r="169" spans="1:7" ht="18">
      <c r="A169" s="317"/>
      <c r="B169" s="317"/>
      <c r="C169" s="577"/>
      <c r="D169" s="577"/>
      <c r="E169" s="577"/>
      <c r="F169" s="317"/>
      <c r="G169" s="317"/>
    </row>
    <row r="170" spans="1:7" ht="18">
      <c r="A170" s="317"/>
      <c r="B170" s="317"/>
      <c r="C170" s="577"/>
      <c r="D170" s="577"/>
      <c r="E170" s="577"/>
      <c r="F170" s="317"/>
      <c r="G170" s="317"/>
    </row>
    <row r="171" spans="1:7" ht="18">
      <c r="A171" s="317"/>
      <c r="B171" s="317"/>
      <c r="C171" s="577"/>
      <c r="D171" s="577"/>
      <c r="E171" s="577"/>
      <c r="F171" s="317"/>
      <c r="G171" s="317"/>
    </row>
    <row r="172" spans="1:7" ht="18">
      <c r="A172" s="317"/>
      <c r="B172" s="317"/>
      <c r="C172" s="577"/>
      <c r="D172" s="577"/>
      <c r="E172" s="577"/>
      <c r="F172" s="317"/>
      <c r="G172" s="317"/>
    </row>
    <row r="173" spans="1:7" ht="18">
      <c r="A173" s="317"/>
      <c r="B173" s="317"/>
      <c r="C173" s="577"/>
      <c r="D173" s="577"/>
      <c r="E173" s="577"/>
      <c r="F173" s="317"/>
      <c r="G173" s="317"/>
    </row>
    <row r="174" spans="1:7" ht="18">
      <c r="A174" s="317"/>
      <c r="B174" s="317"/>
      <c r="C174" s="577"/>
      <c r="D174" s="577"/>
      <c r="E174" s="577"/>
      <c r="F174" s="317"/>
      <c r="G174" s="317"/>
    </row>
    <row r="175" spans="1:7" ht="18">
      <c r="A175" s="317"/>
      <c r="B175" s="317"/>
      <c r="C175" s="577"/>
      <c r="D175" s="577"/>
      <c r="E175" s="577"/>
      <c r="F175" s="317"/>
      <c r="G175" s="317"/>
    </row>
    <row r="176" spans="1:7" ht="18">
      <c r="A176" s="317"/>
      <c r="B176" s="317"/>
      <c r="C176" s="577"/>
      <c r="D176" s="577"/>
      <c r="E176" s="577"/>
      <c r="F176" s="317"/>
      <c r="G176" s="317"/>
    </row>
    <row r="177" spans="1:7" ht="18">
      <c r="A177" s="317"/>
      <c r="B177" s="317"/>
      <c r="C177" s="577"/>
      <c r="D177" s="577"/>
      <c r="E177" s="577"/>
      <c r="F177" s="317"/>
      <c r="G177" s="317"/>
    </row>
    <row r="178" spans="1:7" ht="18">
      <c r="A178" s="317"/>
      <c r="B178" s="317"/>
      <c r="C178" s="577"/>
      <c r="D178" s="577"/>
      <c r="E178" s="577"/>
      <c r="F178" s="317"/>
      <c r="G178" s="317"/>
    </row>
    <row r="179" spans="1:7" ht="18">
      <c r="A179" s="317"/>
      <c r="B179" s="317"/>
      <c r="C179" s="577"/>
      <c r="D179" s="577"/>
      <c r="E179" s="577"/>
      <c r="F179" s="317"/>
      <c r="G179" s="317"/>
    </row>
    <row r="180" spans="1:7" ht="18">
      <c r="A180" s="317"/>
      <c r="B180" s="317"/>
      <c r="C180" s="577"/>
      <c r="D180" s="577"/>
      <c r="E180" s="577"/>
      <c r="F180" s="317"/>
      <c r="G180" s="317"/>
    </row>
    <row r="181" spans="1:7" ht="18">
      <c r="A181" s="317"/>
      <c r="B181" s="317"/>
      <c r="C181" s="577"/>
      <c r="D181" s="577"/>
      <c r="E181" s="577"/>
      <c r="F181" s="317"/>
      <c r="G181" s="317"/>
    </row>
    <row r="182" spans="1:7" ht="18">
      <c r="A182" s="317"/>
      <c r="B182" s="317"/>
      <c r="C182" s="577"/>
      <c r="D182" s="577"/>
      <c r="E182" s="577"/>
      <c r="F182" s="317"/>
      <c r="G182" s="317"/>
    </row>
    <row r="183" spans="1:7" ht="18">
      <c r="A183" s="317"/>
      <c r="B183" s="317"/>
      <c r="C183" s="577"/>
      <c r="D183" s="577"/>
      <c r="E183" s="577"/>
      <c r="F183" s="317"/>
      <c r="G183" s="317"/>
    </row>
    <row r="184" spans="1:7" ht="18">
      <c r="A184" s="317"/>
      <c r="B184" s="317"/>
      <c r="C184" s="577"/>
      <c r="D184" s="577"/>
      <c r="E184" s="577"/>
      <c r="F184" s="317"/>
      <c r="G184" s="317"/>
    </row>
    <row r="185" spans="1:7" ht="18">
      <c r="A185" s="317"/>
      <c r="B185" s="317"/>
      <c r="C185" s="577"/>
      <c r="D185" s="577"/>
      <c r="E185" s="577"/>
      <c r="F185" s="317"/>
      <c r="G185" s="317"/>
    </row>
    <row r="186" spans="1:7" ht="18">
      <c r="A186" s="317"/>
      <c r="B186" s="317"/>
      <c r="C186" s="577"/>
      <c r="D186" s="577"/>
      <c r="E186" s="577"/>
      <c r="F186" s="317"/>
      <c r="G186" s="317"/>
    </row>
    <row r="187" spans="1:7" ht="18">
      <c r="A187" s="317"/>
      <c r="B187" s="317"/>
      <c r="C187" s="577"/>
      <c r="D187" s="577"/>
      <c r="E187" s="577"/>
      <c r="F187" s="317"/>
      <c r="G187" s="317"/>
    </row>
    <row r="188" spans="1:7" ht="18">
      <c r="A188" s="317"/>
      <c r="B188" s="317"/>
      <c r="C188" s="577"/>
      <c r="D188" s="577"/>
      <c r="E188" s="577"/>
      <c r="F188" s="317"/>
      <c r="G188" s="317"/>
    </row>
    <row r="189" spans="1:7" ht="18">
      <c r="A189" s="317"/>
      <c r="B189" s="317"/>
      <c r="C189" s="577"/>
      <c r="D189" s="577"/>
      <c r="E189" s="577"/>
      <c r="F189" s="317"/>
      <c r="G189" s="317"/>
    </row>
    <row r="190" spans="1:7" ht="18">
      <c r="A190" s="317"/>
      <c r="B190" s="317"/>
      <c r="C190" s="577"/>
      <c r="D190" s="577"/>
      <c r="E190" s="577"/>
      <c r="F190" s="317"/>
      <c r="G190" s="317"/>
    </row>
    <row r="191" spans="1:7" ht="18">
      <c r="A191" s="317"/>
      <c r="B191" s="317"/>
      <c r="C191" s="577"/>
      <c r="D191" s="577"/>
      <c r="E191" s="577"/>
      <c r="F191" s="317"/>
      <c r="G191" s="317"/>
    </row>
    <row r="192" spans="1:7" ht="18">
      <c r="A192" s="317"/>
      <c r="B192" s="317"/>
      <c r="C192" s="577"/>
      <c r="D192" s="577"/>
      <c r="E192" s="577"/>
      <c r="F192" s="317"/>
      <c r="G192" s="317"/>
    </row>
    <row r="193" spans="1:7" ht="18">
      <c r="A193" s="317"/>
      <c r="B193" s="317"/>
      <c r="C193" s="577"/>
      <c r="D193" s="577"/>
      <c r="E193" s="577"/>
      <c r="F193" s="317"/>
      <c r="G193" s="317"/>
    </row>
    <row r="194" spans="1:7" ht="18">
      <c r="A194" s="317"/>
      <c r="B194" s="317"/>
      <c r="C194" s="577"/>
      <c r="D194" s="577"/>
      <c r="E194" s="577"/>
      <c r="F194" s="317"/>
      <c r="G194" s="317"/>
    </row>
    <row r="195" spans="1:7" ht="18">
      <c r="A195" s="317"/>
      <c r="B195" s="317"/>
      <c r="C195" s="577"/>
      <c r="D195" s="577"/>
      <c r="E195" s="577"/>
      <c r="F195" s="317"/>
      <c r="G195" s="317"/>
    </row>
    <row r="196" spans="1:7" ht="18">
      <c r="A196" s="317"/>
      <c r="B196" s="317"/>
      <c r="C196" s="577"/>
      <c r="D196" s="577"/>
      <c r="E196" s="577"/>
      <c r="F196" s="317"/>
      <c r="G196" s="317"/>
    </row>
    <row r="197" spans="1:7" ht="18">
      <c r="A197" s="317"/>
      <c r="B197" s="317"/>
      <c r="C197" s="577"/>
      <c r="D197" s="577"/>
      <c r="E197" s="577"/>
      <c r="F197" s="317"/>
      <c r="G197" s="317"/>
    </row>
    <row r="198" spans="1:7" ht="18">
      <c r="A198" s="317"/>
      <c r="B198" s="317"/>
      <c r="C198" s="577"/>
      <c r="D198" s="577"/>
      <c r="E198" s="577"/>
      <c r="F198" s="317"/>
      <c r="G198" s="317"/>
    </row>
    <row r="199" spans="1:7" ht="18">
      <c r="A199" s="317"/>
      <c r="B199" s="317"/>
      <c r="C199" s="577"/>
      <c r="D199" s="577"/>
      <c r="E199" s="577"/>
      <c r="F199" s="317"/>
      <c r="G199" s="317"/>
    </row>
    <row r="200" spans="1:7" ht="18">
      <c r="A200" s="317"/>
      <c r="B200" s="317"/>
      <c r="C200" s="577"/>
      <c r="D200" s="577"/>
      <c r="E200" s="577"/>
      <c r="F200" s="317"/>
      <c r="G200" s="317"/>
    </row>
    <row r="201" spans="1:7" ht="18">
      <c r="A201" s="317"/>
      <c r="B201" s="317"/>
      <c r="C201" s="577"/>
      <c r="D201" s="577"/>
      <c r="E201" s="577"/>
      <c r="F201" s="317"/>
      <c r="G201" s="317"/>
    </row>
    <row r="202" spans="1:7" ht="18">
      <c r="A202" s="317"/>
      <c r="B202" s="317"/>
      <c r="C202" s="577"/>
      <c r="D202" s="577"/>
      <c r="E202" s="577"/>
      <c r="F202" s="317"/>
      <c r="G202" s="317"/>
    </row>
    <row r="203" spans="1:7" ht="18">
      <c r="A203" s="317"/>
      <c r="B203" s="317"/>
      <c r="C203" s="577"/>
      <c r="D203" s="577"/>
      <c r="E203" s="577"/>
      <c r="F203" s="317"/>
      <c r="G203" s="317"/>
    </row>
    <row r="204" spans="1:7" ht="18">
      <c r="A204" s="317"/>
      <c r="B204" s="317"/>
      <c r="C204" s="577"/>
      <c r="D204" s="577"/>
      <c r="E204" s="577"/>
      <c r="F204" s="317"/>
      <c r="G204" s="317"/>
    </row>
    <row r="205" spans="1:7" ht="18">
      <c r="A205" s="317"/>
      <c r="B205" s="317"/>
      <c r="C205" s="577"/>
      <c r="D205" s="577"/>
      <c r="E205" s="577"/>
      <c r="F205" s="317"/>
      <c r="G205" s="317"/>
    </row>
    <row r="206" spans="1:7" ht="18">
      <c r="A206" s="317"/>
      <c r="B206" s="317"/>
      <c r="C206" s="577"/>
      <c r="D206" s="577"/>
      <c r="E206" s="577"/>
      <c r="F206" s="317"/>
      <c r="G206" s="317"/>
    </row>
    <row r="207" spans="1:7" ht="18">
      <c r="A207" s="317"/>
      <c r="B207" s="317"/>
      <c r="C207" s="577"/>
      <c r="D207" s="577"/>
      <c r="E207" s="577"/>
      <c r="F207" s="317"/>
      <c r="G207" s="317"/>
    </row>
    <row r="208" spans="1:7" ht="18">
      <c r="A208" s="317"/>
      <c r="B208" s="317"/>
      <c r="C208" s="577"/>
      <c r="D208" s="577"/>
      <c r="E208" s="577"/>
      <c r="F208" s="317"/>
      <c r="G208" s="317"/>
    </row>
    <row r="209" spans="1:7" ht="18">
      <c r="A209" s="317"/>
      <c r="B209" s="317"/>
      <c r="C209" s="577"/>
      <c r="D209" s="577"/>
      <c r="E209" s="577"/>
      <c r="F209" s="317"/>
      <c r="G209" s="317"/>
    </row>
    <row r="210" spans="1:7" ht="18">
      <c r="A210" s="317"/>
      <c r="B210" s="317"/>
      <c r="C210" s="577"/>
      <c r="D210" s="577"/>
      <c r="E210" s="577"/>
      <c r="F210" s="317"/>
      <c r="G210" s="317"/>
    </row>
    <row r="211" spans="1:7" ht="18">
      <c r="A211" s="317"/>
      <c r="B211" s="317"/>
      <c r="C211" s="577"/>
      <c r="D211" s="577"/>
      <c r="E211" s="577"/>
      <c r="F211" s="317"/>
      <c r="G211" s="317"/>
    </row>
    <row r="212" spans="1:7" ht="18">
      <c r="A212" s="317"/>
      <c r="B212" s="317"/>
      <c r="C212" s="577"/>
      <c r="D212" s="577"/>
      <c r="E212" s="577"/>
      <c r="F212" s="317"/>
      <c r="G212" s="317"/>
    </row>
    <row r="213" spans="1:7" ht="18">
      <c r="A213" s="317"/>
      <c r="B213" s="317"/>
      <c r="C213" s="577"/>
      <c r="D213" s="577"/>
      <c r="E213" s="577"/>
      <c r="F213" s="317"/>
      <c r="G213" s="317"/>
    </row>
    <row r="214" spans="1:7" ht="18">
      <c r="A214" s="317"/>
      <c r="B214" s="317"/>
      <c r="C214" s="577"/>
      <c r="D214" s="577"/>
      <c r="E214" s="577"/>
      <c r="F214" s="317"/>
      <c r="G214" s="317"/>
    </row>
    <row r="215" spans="1:7" ht="18">
      <c r="A215" s="317"/>
      <c r="B215" s="317"/>
      <c r="C215" s="577"/>
      <c r="D215" s="577"/>
      <c r="E215" s="577"/>
      <c r="F215" s="317"/>
      <c r="G215" s="317"/>
    </row>
    <row r="216" spans="1:7" ht="18">
      <c r="A216" s="317"/>
      <c r="B216" s="317"/>
      <c r="C216" s="577"/>
      <c r="D216" s="577"/>
      <c r="E216" s="577"/>
      <c r="F216" s="317"/>
      <c r="G216" s="317"/>
    </row>
    <row r="217" spans="1:7" ht="18">
      <c r="A217" s="317"/>
      <c r="B217" s="317"/>
      <c r="C217" s="577"/>
      <c r="D217" s="577"/>
      <c r="E217" s="577"/>
      <c r="F217" s="317"/>
      <c r="G217" s="317"/>
    </row>
    <row r="218" spans="1:7" ht="18">
      <c r="A218" s="317"/>
      <c r="B218" s="317"/>
      <c r="C218" s="577"/>
      <c r="D218" s="577"/>
      <c r="E218" s="577"/>
      <c r="F218" s="317"/>
      <c r="G218" s="317"/>
    </row>
    <row r="219" spans="1:7" ht="18">
      <c r="A219" s="317"/>
      <c r="B219" s="317"/>
      <c r="C219" s="577"/>
      <c r="D219" s="577"/>
      <c r="E219" s="577"/>
      <c r="F219" s="317"/>
      <c r="G219" s="317"/>
    </row>
    <row r="220" spans="1:7" ht="18">
      <c r="A220" s="317"/>
      <c r="B220" s="317"/>
      <c r="C220" s="577"/>
      <c r="D220" s="577"/>
      <c r="E220" s="577"/>
      <c r="F220" s="317"/>
      <c r="G220" s="317"/>
    </row>
    <row r="221" spans="1:7" ht="18">
      <c r="A221" s="317"/>
      <c r="B221" s="317"/>
      <c r="C221" s="577"/>
      <c r="D221" s="577"/>
      <c r="E221" s="577"/>
      <c r="F221" s="317"/>
      <c r="G221" s="317"/>
    </row>
    <row r="222" spans="1:7" ht="18">
      <c r="A222" s="317"/>
      <c r="B222" s="317"/>
      <c r="C222" s="577"/>
      <c r="D222" s="577"/>
      <c r="E222" s="577"/>
      <c r="F222" s="317"/>
      <c r="G222" s="317"/>
    </row>
    <row r="223" spans="1:7" ht="18">
      <c r="A223" s="317"/>
      <c r="B223" s="317"/>
      <c r="C223" s="577"/>
      <c r="D223" s="577"/>
      <c r="E223" s="577"/>
      <c r="F223" s="317"/>
      <c r="G223" s="317"/>
    </row>
    <row r="224" spans="1:7" ht="18">
      <c r="A224" s="317"/>
      <c r="B224" s="317"/>
      <c r="C224" s="577"/>
      <c r="D224" s="577"/>
      <c r="E224" s="577"/>
      <c r="F224" s="317"/>
      <c r="G224" s="317"/>
    </row>
    <row r="225" spans="1:7" ht="18">
      <c r="A225" s="317"/>
      <c r="B225" s="317"/>
      <c r="C225" s="577"/>
      <c r="D225" s="577"/>
      <c r="E225" s="577"/>
      <c r="F225" s="317"/>
      <c r="G225" s="317"/>
    </row>
    <row r="226" spans="1:7" ht="18">
      <c r="A226" s="317"/>
      <c r="B226" s="317"/>
      <c r="C226" s="577"/>
      <c r="D226" s="577"/>
      <c r="E226" s="577"/>
      <c r="F226" s="317"/>
      <c r="G226" s="317"/>
    </row>
    <row r="227" spans="1:7" ht="18">
      <c r="A227" s="317"/>
      <c r="B227" s="317"/>
      <c r="C227" s="577"/>
      <c r="D227" s="577"/>
      <c r="E227" s="577"/>
      <c r="F227" s="317"/>
      <c r="G227" s="317"/>
    </row>
    <row r="228" spans="1:7" ht="18">
      <c r="A228" s="317"/>
      <c r="B228" s="317"/>
      <c r="C228" s="577"/>
      <c r="D228" s="577"/>
      <c r="E228" s="577"/>
      <c r="F228" s="317"/>
      <c r="G228" s="317"/>
    </row>
    <row r="229" spans="1:7" ht="18">
      <c r="A229" s="317"/>
      <c r="B229" s="317"/>
      <c r="C229" s="577"/>
      <c r="D229" s="577"/>
      <c r="E229" s="577"/>
      <c r="F229" s="317"/>
      <c r="G229" s="317"/>
    </row>
    <row r="230" spans="1:7" ht="18">
      <c r="A230" s="317"/>
      <c r="B230" s="317"/>
      <c r="C230" s="577"/>
      <c r="D230" s="577"/>
      <c r="E230" s="577"/>
      <c r="F230" s="317"/>
      <c r="G230" s="317"/>
    </row>
    <row r="231" spans="1:7" ht="18">
      <c r="A231" s="317"/>
      <c r="B231" s="317"/>
      <c r="C231" s="577"/>
      <c r="D231" s="577"/>
      <c r="E231" s="577"/>
      <c r="F231" s="317"/>
      <c r="G231" s="317"/>
    </row>
    <row r="232" spans="1:7" ht="18">
      <c r="A232" s="317"/>
      <c r="B232" s="317"/>
      <c r="C232" s="577"/>
      <c r="D232" s="577"/>
      <c r="E232" s="577"/>
      <c r="F232" s="317"/>
      <c r="G232" s="317"/>
    </row>
    <row r="233" spans="1:7" ht="18">
      <c r="A233" s="317"/>
      <c r="B233" s="317"/>
      <c r="C233" s="577"/>
      <c r="D233" s="577"/>
      <c r="E233" s="577"/>
      <c r="F233" s="317"/>
      <c r="G233" s="317"/>
    </row>
    <row r="234" spans="1:7" ht="18">
      <c r="A234" s="317"/>
      <c r="B234" s="317"/>
      <c r="C234" s="577"/>
      <c r="D234" s="577"/>
      <c r="E234" s="577"/>
      <c r="F234" s="317"/>
      <c r="G234" s="317"/>
    </row>
    <row r="235" spans="1:7" ht="18">
      <c r="A235" s="317"/>
      <c r="B235" s="317"/>
      <c r="C235" s="577"/>
      <c r="D235" s="577"/>
      <c r="E235" s="577"/>
      <c r="F235" s="317"/>
      <c r="G235" s="317"/>
    </row>
    <row r="236" spans="1:7" ht="18">
      <c r="A236" s="317"/>
      <c r="B236" s="317"/>
      <c r="C236" s="577"/>
      <c r="D236" s="577"/>
      <c r="E236" s="577"/>
      <c r="F236" s="317"/>
      <c r="G236" s="317"/>
    </row>
    <row r="237" spans="1:7" ht="18">
      <c r="A237" s="317"/>
      <c r="B237" s="317"/>
      <c r="C237" s="577"/>
      <c r="D237" s="577"/>
      <c r="E237" s="577"/>
      <c r="F237" s="317"/>
      <c r="G237" s="317"/>
    </row>
    <row r="238" spans="1:7" ht="18">
      <c r="A238" s="317"/>
      <c r="B238" s="317"/>
      <c r="C238" s="577"/>
      <c r="D238" s="577"/>
      <c r="E238" s="577"/>
      <c r="F238" s="317"/>
      <c r="G238" s="317"/>
    </row>
    <row r="239" spans="1:7" ht="18">
      <c r="A239" s="317"/>
      <c r="B239" s="317"/>
      <c r="C239" s="577"/>
      <c r="D239" s="577"/>
      <c r="E239" s="577"/>
      <c r="F239" s="317"/>
      <c r="G239" s="317"/>
    </row>
    <row r="240" spans="1:7" ht="18">
      <c r="A240" s="317"/>
      <c r="B240" s="317"/>
      <c r="C240" s="577"/>
      <c r="D240" s="577"/>
      <c r="E240" s="577"/>
      <c r="F240" s="317"/>
      <c r="G240" s="317"/>
    </row>
    <row r="241" spans="1:7" ht="18">
      <c r="A241" s="317"/>
      <c r="B241" s="317"/>
      <c r="C241" s="577"/>
      <c r="D241" s="577"/>
      <c r="E241" s="577"/>
      <c r="F241" s="317"/>
      <c r="G241" s="317"/>
    </row>
    <row r="242" spans="1:7" ht="18">
      <c r="A242" s="317"/>
      <c r="B242" s="317"/>
      <c r="C242" s="577"/>
      <c r="D242" s="577"/>
      <c r="E242" s="577"/>
      <c r="F242" s="317"/>
      <c r="G242" s="317"/>
    </row>
    <row r="243" spans="1:7" ht="18">
      <c r="A243" s="317"/>
      <c r="B243" s="317"/>
      <c r="C243" s="577"/>
      <c r="D243" s="577"/>
      <c r="E243" s="577"/>
      <c r="F243" s="317"/>
      <c r="G243" s="317"/>
    </row>
    <row r="244" spans="1:7" ht="18">
      <c r="A244" s="317"/>
      <c r="B244" s="317"/>
      <c r="C244" s="577"/>
      <c r="D244" s="577"/>
      <c r="E244" s="577"/>
      <c r="F244" s="317"/>
      <c r="G244" s="317"/>
    </row>
    <row r="245" spans="1:7" ht="18">
      <c r="A245" s="317"/>
      <c r="B245" s="317"/>
      <c r="C245" s="577"/>
      <c r="D245" s="577"/>
      <c r="E245" s="577"/>
      <c r="F245" s="317"/>
      <c r="G245" s="317"/>
    </row>
    <row r="246" spans="1:7" ht="18">
      <c r="A246" s="317"/>
      <c r="B246" s="317"/>
      <c r="C246" s="577"/>
      <c r="D246" s="577"/>
      <c r="E246" s="577"/>
      <c r="F246" s="317"/>
      <c r="G246" s="317"/>
    </row>
    <row r="247" spans="1:7" ht="18">
      <c r="A247" s="317"/>
      <c r="B247" s="317"/>
      <c r="C247" s="577"/>
      <c r="D247" s="577"/>
      <c r="E247" s="577"/>
      <c r="F247" s="317"/>
      <c r="G247" s="317"/>
    </row>
    <row r="248" spans="1:7" ht="18">
      <c r="A248" s="317"/>
      <c r="B248" s="317"/>
      <c r="C248" s="577"/>
      <c r="D248" s="577"/>
      <c r="E248" s="577"/>
      <c r="F248" s="317"/>
      <c r="G248" s="317"/>
    </row>
    <row r="249" spans="1:7" ht="18">
      <c r="A249" s="317"/>
      <c r="B249" s="317"/>
      <c r="C249" s="577"/>
      <c r="D249" s="577"/>
      <c r="E249" s="577"/>
      <c r="F249" s="317"/>
      <c r="G249" s="317"/>
    </row>
    <row r="250" spans="1:7" ht="18">
      <c r="A250" s="317"/>
      <c r="B250" s="317"/>
      <c r="C250" s="577"/>
      <c r="D250" s="577"/>
      <c r="E250" s="577"/>
      <c r="F250" s="317"/>
      <c r="G250" s="317"/>
    </row>
    <row r="251" spans="1:7" ht="18">
      <c r="A251" s="317"/>
      <c r="B251" s="317"/>
      <c r="C251" s="577"/>
      <c r="D251" s="577"/>
      <c r="E251" s="577"/>
      <c r="F251" s="317"/>
      <c r="G251" s="317"/>
    </row>
    <row r="252" spans="1:7" ht="18">
      <c r="A252" s="317"/>
      <c r="B252" s="317"/>
      <c r="C252" s="577"/>
      <c r="D252" s="577"/>
      <c r="E252" s="577"/>
      <c r="F252" s="317"/>
      <c r="G252" s="317"/>
    </row>
    <row r="253" spans="1:7" ht="18">
      <c r="A253" s="317"/>
      <c r="B253" s="317"/>
      <c r="C253" s="577"/>
      <c r="D253" s="577"/>
      <c r="E253" s="577"/>
      <c r="F253" s="317"/>
      <c r="G253" s="317"/>
    </row>
    <row r="254" spans="1:7" ht="18">
      <c r="A254" s="317"/>
      <c r="B254" s="317"/>
      <c r="C254" s="577"/>
      <c r="D254" s="577"/>
      <c r="E254" s="577"/>
      <c r="F254" s="317"/>
      <c r="G254" s="317"/>
    </row>
    <row r="255" spans="1:7" ht="18">
      <c r="A255" s="317"/>
      <c r="B255" s="317"/>
      <c r="C255" s="577"/>
      <c r="D255" s="577"/>
      <c r="E255" s="577"/>
      <c r="F255" s="317"/>
      <c r="G255" s="317"/>
    </row>
    <row r="256" spans="1:7" ht="18">
      <c r="A256" s="317"/>
      <c r="B256" s="317"/>
      <c r="C256" s="577"/>
      <c r="D256" s="577"/>
      <c r="E256" s="577"/>
      <c r="F256" s="317"/>
      <c r="G256" s="317"/>
    </row>
    <row r="257" spans="1:7" ht="18">
      <c r="A257" s="317"/>
      <c r="B257" s="317"/>
      <c r="C257" s="577"/>
      <c r="D257" s="577"/>
      <c r="E257" s="577"/>
      <c r="F257" s="317"/>
      <c r="G257" s="317"/>
    </row>
    <row r="258" spans="1:7" ht="18">
      <c r="A258" s="317"/>
      <c r="B258" s="317"/>
      <c r="C258" s="577"/>
      <c r="D258" s="577"/>
      <c r="E258" s="577"/>
      <c r="F258" s="317"/>
      <c r="G258" s="317"/>
    </row>
    <row r="259" spans="1:7" ht="18">
      <c r="A259" s="317"/>
      <c r="B259" s="317"/>
      <c r="C259" s="577"/>
      <c r="D259" s="577"/>
      <c r="E259" s="577"/>
      <c r="F259" s="317"/>
      <c r="G259" s="317"/>
    </row>
    <row r="260" spans="1:7" ht="18">
      <c r="A260" s="317"/>
      <c r="B260" s="317"/>
      <c r="C260" s="577"/>
      <c r="D260" s="577"/>
      <c r="E260" s="577"/>
      <c r="F260" s="317"/>
      <c r="G260" s="317"/>
    </row>
    <row r="261" spans="1:7" ht="18">
      <c r="A261" s="317"/>
      <c r="B261" s="317"/>
      <c r="C261" s="577"/>
      <c r="D261" s="577"/>
      <c r="E261" s="577"/>
      <c r="F261" s="317"/>
      <c r="G261" s="317"/>
    </row>
    <row r="262" spans="1:7" ht="18">
      <c r="A262" s="317"/>
      <c r="B262" s="317"/>
      <c r="C262" s="577"/>
      <c r="D262" s="577"/>
      <c r="E262" s="577"/>
      <c r="F262" s="317"/>
      <c r="G262" s="317"/>
    </row>
    <row r="263" spans="1:7" ht="18">
      <c r="A263" s="317"/>
      <c r="B263" s="317"/>
      <c r="C263" s="577"/>
      <c r="D263" s="577"/>
      <c r="E263" s="577"/>
      <c r="F263" s="317"/>
      <c r="G263" s="317"/>
    </row>
    <row r="264" spans="1:7" ht="18">
      <c r="A264" s="317"/>
      <c r="B264" s="317"/>
      <c r="C264" s="577"/>
      <c r="D264" s="577"/>
      <c r="E264" s="577"/>
      <c r="F264" s="317"/>
      <c r="G264" s="31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  <row r="994" spans="1:7">
      <c r="A994" s="377"/>
      <c r="B994" s="377"/>
      <c r="C994" s="377"/>
      <c r="D994" s="377"/>
      <c r="E994" s="377"/>
      <c r="F994" s="377"/>
      <c r="G994" s="377"/>
    </row>
    <row r="995" spans="1:7">
      <c r="A995" s="377"/>
      <c r="B995" s="377"/>
      <c r="C995" s="377"/>
      <c r="D995" s="377"/>
      <c r="E995" s="377"/>
      <c r="F995" s="377"/>
      <c r="G995" s="377"/>
    </row>
    <row r="996" spans="1:7">
      <c r="A996" s="377"/>
      <c r="B996" s="377"/>
      <c r="C996" s="377"/>
      <c r="D996" s="377"/>
      <c r="E996" s="377"/>
      <c r="F996" s="377"/>
      <c r="G996" s="377"/>
    </row>
    <row r="997" spans="1:7">
      <c r="A997" s="377"/>
      <c r="B997" s="377"/>
      <c r="C997" s="377"/>
      <c r="D997" s="377"/>
      <c r="E997" s="377"/>
      <c r="F997" s="377"/>
      <c r="G997" s="377"/>
    </row>
    <row r="998" spans="1:7">
      <c r="A998" s="377"/>
      <c r="B998" s="377"/>
      <c r="C998" s="377"/>
      <c r="D998" s="377"/>
      <c r="E998" s="377"/>
      <c r="F998" s="377"/>
      <c r="G998" s="377"/>
    </row>
    <row r="999" spans="1:7">
      <c r="A999" s="377"/>
      <c r="B999" s="377"/>
      <c r="C999" s="377"/>
      <c r="D999" s="377"/>
      <c r="E999" s="377"/>
      <c r="F999" s="377"/>
      <c r="G999" s="377"/>
    </row>
    <row r="1000" spans="1:7">
      <c r="A1000" s="377"/>
      <c r="B1000" s="377"/>
      <c r="C1000" s="377"/>
      <c r="D1000" s="377"/>
      <c r="E1000" s="377"/>
      <c r="F1000" s="377"/>
      <c r="G1000" s="377"/>
    </row>
    <row r="1001" spans="1:7">
      <c r="A1001" s="377"/>
      <c r="B1001" s="377"/>
      <c r="C1001" s="377"/>
      <c r="D1001" s="377"/>
      <c r="E1001" s="377"/>
      <c r="F1001" s="377"/>
      <c r="G1001" s="377"/>
    </row>
    <row r="1002" spans="1:7">
      <c r="A1002" s="377"/>
      <c r="B1002" s="377"/>
      <c r="C1002" s="377"/>
      <c r="D1002" s="377"/>
      <c r="E1002" s="377"/>
      <c r="F1002" s="377"/>
      <c r="G1002" s="377"/>
    </row>
    <row r="1003" spans="1:7">
      <c r="A1003" s="377"/>
      <c r="B1003" s="377"/>
      <c r="C1003" s="377"/>
      <c r="D1003" s="377"/>
      <c r="E1003" s="377"/>
      <c r="F1003" s="377"/>
      <c r="G1003" s="377"/>
    </row>
    <row r="1004" spans="1:7">
      <c r="A1004" s="377"/>
      <c r="B1004" s="377"/>
      <c r="C1004" s="377"/>
      <c r="D1004" s="377"/>
      <c r="E1004" s="377"/>
      <c r="F1004" s="377"/>
      <c r="G1004" s="377"/>
    </row>
    <row r="1005" spans="1:7">
      <c r="A1005" s="377"/>
      <c r="B1005" s="377"/>
      <c r="C1005" s="377"/>
      <c r="D1005" s="377"/>
      <c r="E1005" s="377"/>
      <c r="F1005" s="377"/>
      <c r="G1005" s="377"/>
    </row>
    <row r="1006" spans="1:7">
      <c r="A1006" s="377"/>
      <c r="B1006" s="377"/>
      <c r="C1006" s="377"/>
      <c r="D1006" s="377"/>
      <c r="E1006" s="377"/>
      <c r="F1006" s="377"/>
      <c r="G1006" s="377"/>
    </row>
    <row r="1007" spans="1:7">
      <c r="A1007" s="377"/>
      <c r="B1007" s="377"/>
      <c r="C1007" s="377"/>
      <c r="D1007" s="377"/>
      <c r="E1007" s="377"/>
      <c r="F1007" s="377"/>
      <c r="G1007" s="377"/>
    </row>
    <row r="1008" spans="1:7">
      <c r="A1008" s="377"/>
      <c r="B1008" s="377"/>
      <c r="C1008" s="377"/>
      <c r="D1008" s="377"/>
      <c r="E1008" s="377"/>
      <c r="F1008" s="377"/>
      <c r="G1008" s="377"/>
    </row>
    <row r="1009" spans="1:7">
      <c r="A1009" s="377"/>
      <c r="B1009" s="377"/>
      <c r="C1009" s="377"/>
      <c r="D1009" s="377"/>
      <c r="E1009" s="377"/>
      <c r="F1009" s="377"/>
      <c r="G1009" s="377"/>
    </row>
    <row r="1010" spans="1:7">
      <c r="A1010" s="377"/>
      <c r="B1010" s="377"/>
      <c r="C1010" s="377"/>
      <c r="D1010" s="377"/>
      <c r="E1010" s="377"/>
      <c r="F1010" s="377"/>
      <c r="G1010" s="377"/>
    </row>
  </sheetData>
  <sheetProtection algorithmName="SHA-512" hashValue="YtLIJ6y6RmOT3Z/IPvIZJGymAYeSucvGl5nY6aulsBqkne7rgHTgX5dbbxZMKxjW4TF35gXnVkUZQC3e2HZTFQ==" saltValue="FFmeecX1GUS+mTWLGqvj3Q==" spinCount="100000" sheet="1" objects="1" scenarios="1"/>
  <mergeCells count="13">
    <mergeCell ref="B64:D64"/>
    <mergeCell ref="F64:G64"/>
    <mergeCell ref="B65:D65"/>
    <mergeCell ref="F65:G65"/>
    <mergeCell ref="A69:G69"/>
    <mergeCell ref="A2:G2"/>
    <mergeCell ref="A3:G3"/>
    <mergeCell ref="A6:A8"/>
    <mergeCell ref="B6:B8"/>
    <mergeCell ref="C6:C8"/>
    <mergeCell ref="D6:F6"/>
    <mergeCell ref="G6:G8"/>
    <mergeCell ref="F7:F8"/>
  </mergeCells>
  <conditionalFormatting sqref="C38">
    <cfRule type="cellIs" dxfId="3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0E2E1-3C06-4C98-A192-0A3C70DAFF89}">
  <dimension ref="A1:K994"/>
  <sheetViews>
    <sheetView topLeftCell="A31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28515625" style="314" customWidth="1"/>
    <col min="3" max="7" width="16.5703125" style="314" customWidth="1"/>
    <col min="8" max="9" width="8.85546875" style="314"/>
    <col min="10" max="11" width="11.28515625" style="314" bestFit="1" customWidth="1"/>
    <col min="12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7" t="s">
        <v>689</v>
      </c>
      <c r="B5" s="317"/>
      <c r="C5" s="317"/>
      <c r="D5" s="317"/>
      <c r="E5" s="318"/>
      <c r="F5" s="317"/>
      <c r="G5" s="317"/>
    </row>
    <row r="6" spans="1:7" ht="16.5" thickTop="1" thickBot="1">
      <c r="A6" s="1228" t="s">
        <v>16</v>
      </c>
      <c r="B6" s="1228" t="s">
        <v>17</v>
      </c>
      <c r="C6" s="1230" t="s">
        <v>554</v>
      </c>
      <c r="D6" s="1231" t="s">
        <v>690</v>
      </c>
      <c r="E6" s="1242"/>
      <c r="F6" s="1243"/>
      <c r="G6" s="1228" t="s">
        <v>556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449" t="s">
        <v>33</v>
      </c>
      <c r="B10" s="450"/>
      <c r="C10" s="698"/>
      <c r="D10" s="698"/>
      <c r="E10" s="698"/>
      <c r="F10" s="698"/>
      <c r="G10" s="451"/>
    </row>
    <row r="11" spans="1:7" ht="18">
      <c r="A11" s="453" t="s">
        <v>34</v>
      </c>
      <c r="B11" s="454"/>
      <c r="C11" s="455"/>
      <c r="D11" s="455"/>
      <c r="E11" s="455"/>
      <c r="F11" s="455"/>
      <c r="G11" s="457"/>
    </row>
    <row r="12" spans="1:7" ht="18">
      <c r="A12" s="459" t="s">
        <v>35</v>
      </c>
      <c r="B12" s="699"/>
      <c r="C12" s="700"/>
      <c r="D12" s="700"/>
      <c r="E12" s="700"/>
      <c r="F12" s="700"/>
      <c r="G12" s="701"/>
    </row>
    <row r="13" spans="1:7" ht="18">
      <c r="A13" s="429" t="s">
        <v>36</v>
      </c>
      <c r="B13" s="465" t="s">
        <v>37</v>
      </c>
      <c r="C13" s="702">
        <v>176136</v>
      </c>
      <c r="D13" s="702">
        <v>88068</v>
      </c>
      <c r="E13" s="702">
        <f>F13-D13</f>
        <v>1088424</v>
      </c>
      <c r="F13" s="703">
        <v>1176492</v>
      </c>
      <c r="G13" s="703">
        <v>1256728</v>
      </c>
    </row>
    <row r="14" spans="1:7" ht="18">
      <c r="A14" s="489" t="s">
        <v>38</v>
      </c>
      <c r="B14" s="493"/>
      <c r="C14" s="704">
        <v>0</v>
      </c>
      <c r="D14" s="704">
        <v>50227.1</v>
      </c>
      <c r="E14" s="702">
        <f>F14-D14</f>
        <v>105772.9</v>
      </c>
      <c r="F14" s="705">
        <v>156000</v>
      </c>
      <c r="G14" s="705">
        <v>165015</v>
      </c>
    </row>
    <row r="15" spans="1:7" ht="18">
      <c r="A15" s="459" t="s">
        <v>40</v>
      </c>
      <c r="B15" s="493"/>
      <c r="C15" s="702"/>
      <c r="D15" s="702"/>
      <c r="E15" s="702"/>
      <c r="F15" s="703"/>
      <c r="G15" s="703"/>
    </row>
    <row r="16" spans="1:7" ht="18">
      <c r="A16" s="429" t="s">
        <v>41</v>
      </c>
      <c r="B16" s="465" t="s">
        <v>42</v>
      </c>
      <c r="C16" s="702">
        <v>24000</v>
      </c>
      <c r="D16" s="702">
        <v>19727.29</v>
      </c>
      <c r="E16" s="702">
        <f t="shared" ref="E16:E21" si="0">F16-D16</f>
        <v>100272.70999999999</v>
      </c>
      <c r="F16" s="703">
        <v>120000</v>
      </c>
      <c r="G16" s="703">
        <v>120000</v>
      </c>
    </row>
    <row r="17" spans="1:7" ht="18">
      <c r="A17" s="429" t="s">
        <v>47</v>
      </c>
      <c r="B17" s="465" t="s">
        <v>48</v>
      </c>
      <c r="C17" s="702">
        <v>6000</v>
      </c>
      <c r="D17" s="706">
        <v>6000</v>
      </c>
      <c r="E17" s="702">
        <f t="shared" si="0"/>
        <v>24000</v>
      </c>
      <c r="F17" s="703">
        <v>30000</v>
      </c>
      <c r="G17" s="703">
        <v>35000</v>
      </c>
    </row>
    <row r="18" spans="1:7" ht="18">
      <c r="A18" s="429" t="s">
        <v>49</v>
      </c>
      <c r="B18" s="465" t="s">
        <v>50</v>
      </c>
      <c r="C18" s="706">
        <v>5000</v>
      </c>
      <c r="D18" s="706">
        <v>0</v>
      </c>
      <c r="E18" s="702">
        <f t="shared" si="0"/>
        <v>25000</v>
      </c>
      <c r="F18" s="703">
        <v>25000</v>
      </c>
      <c r="G18" s="703">
        <v>25000</v>
      </c>
    </row>
    <row r="19" spans="1:7" ht="18">
      <c r="A19" s="429" t="s">
        <v>53</v>
      </c>
      <c r="B19" s="465" t="s">
        <v>54</v>
      </c>
      <c r="C19" s="702">
        <v>14678</v>
      </c>
      <c r="D19" s="706">
        <v>0</v>
      </c>
      <c r="E19" s="702">
        <f t="shared" si="0"/>
        <v>111041</v>
      </c>
      <c r="F19" s="707">
        <v>111041</v>
      </c>
      <c r="G19" s="707">
        <v>121593</v>
      </c>
    </row>
    <row r="20" spans="1:7" ht="18">
      <c r="A20" s="429" t="s">
        <v>55</v>
      </c>
      <c r="B20" s="465" t="s">
        <v>56</v>
      </c>
      <c r="C20" s="702">
        <v>5000</v>
      </c>
      <c r="D20" s="706">
        <v>0</v>
      </c>
      <c r="E20" s="702">
        <f t="shared" si="0"/>
        <v>30000</v>
      </c>
      <c r="F20" s="703">
        <v>30000</v>
      </c>
      <c r="G20" s="703">
        <v>30000</v>
      </c>
    </row>
    <row r="21" spans="1:7" ht="18">
      <c r="A21" s="429" t="s">
        <v>57</v>
      </c>
      <c r="B21" s="465" t="s">
        <v>58</v>
      </c>
      <c r="C21" s="702">
        <v>14678</v>
      </c>
      <c r="D21" s="702">
        <v>14678</v>
      </c>
      <c r="E21" s="702">
        <f t="shared" si="0"/>
        <v>96363</v>
      </c>
      <c r="F21" s="708">
        <v>111041</v>
      </c>
      <c r="G21" s="709">
        <v>116254</v>
      </c>
    </row>
    <row r="22" spans="1:7" ht="18">
      <c r="A22" s="429" t="s">
        <v>557</v>
      </c>
      <c r="B22" s="465" t="s">
        <v>58</v>
      </c>
      <c r="C22" s="704">
        <v>0</v>
      </c>
      <c r="D22" s="704">
        <v>0</v>
      </c>
      <c r="E22" s="704">
        <v>0</v>
      </c>
      <c r="F22" s="704">
        <v>0</v>
      </c>
      <c r="G22" s="707">
        <v>35000</v>
      </c>
    </row>
    <row r="23" spans="1:7" ht="18">
      <c r="A23" s="459" t="s">
        <v>59</v>
      </c>
      <c r="B23" s="493"/>
      <c r="C23" s="702"/>
      <c r="D23" s="702"/>
      <c r="E23" s="702"/>
      <c r="F23" s="703"/>
      <c r="G23" s="703"/>
    </row>
    <row r="24" spans="1:7" ht="18">
      <c r="A24" s="429" t="s">
        <v>60</v>
      </c>
      <c r="B24" s="465" t="s">
        <v>61</v>
      </c>
      <c r="C24" s="702">
        <v>21136.32</v>
      </c>
      <c r="D24" s="702">
        <v>16606.87</v>
      </c>
      <c r="E24" s="702">
        <f t="shared" ref="E24:E27" si="1">F24-D24</f>
        <v>143292.17000000001</v>
      </c>
      <c r="F24" s="707">
        <v>159899.04</v>
      </c>
      <c r="G24" s="707">
        <v>170609.16</v>
      </c>
    </row>
    <row r="25" spans="1:7" ht="18">
      <c r="A25" s="429" t="s">
        <v>62</v>
      </c>
      <c r="B25" s="465" t="s">
        <v>63</v>
      </c>
      <c r="C25" s="702">
        <v>1200</v>
      </c>
      <c r="D25" s="702">
        <v>1900</v>
      </c>
      <c r="E25" s="702">
        <f t="shared" si="1"/>
        <v>4100</v>
      </c>
      <c r="F25" s="703">
        <v>6000</v>
      </c>
      <c r="G25" s="703">
        <v>12000</v>
      </c>
    </row>
    <row r="26" spans="1:7" ht="18">
      <c r="A26" s="429" t="s">
        <v>64</v>
      </c>
      <c r="B26" s="465" t="s">
        <v>65</v>
      </c>
      <c r="C26" s="702">
        <v>3522.72</v>
      </c>
      <c r="D26" s="702">
        <v>3604.16</v>
      </c>
      <c r="E26" s="702">
        <f t="shared" si="1"/>
        <v>26377</v>
      </c>
      <c r="F26" s="707">
        <v>29981.16</v>
      </c>
      <c r="G26" s="707">
        <v>33173.199999999997</v>
      </c>
    </row>
    <row r="27" spans="1:7" ht="18">
      <c r="A27" s="710" t="s">
        <v>66</v>
      </c>
      <c r="B27" s="711" t="s">
        <v>67</v>
      </c>
      <c r="C27" s="702">
        <v>1200</v>
      </c>
      <c r="D27" s="712">
        <v>1000</v>
      </c>
      <c r="E27" s="712">
        <f t="shared" si="1"/>
        <v>5000</v>
      </c>
      <c r="F27" s="713">
        <v>6000</v>
      </c>
      <c r="G27" s="713">
        <v>6000</v>
      </c>
    </row>
    <row r="28" spans="1:7" ht="18">
      <c r="A28" s="459" t="s">
        <v>68</v>
      </c>
      <c r="B28" s="714"/>
      <c r="C28" s="715"/>
      <c r="D28" s="715"/>
      <c r="E28" s="715"/>
      <c r="F28" s="716"/>
      <c r="G28" s="716"/>
    </row>
    <row r="29" spans="1:7" ht="18.75" thickBot="1">
      <c r="A29" s="429" t="s">
        <v>558</v>
      </c>
      <c r="B29" s="490" t="s">
        <v>520</v>
      </c>
      <c r="C29" s="704">
        <v>0</v>
      </c>
      <c r="D29" s="704">
        <v>0</v>
      </c>
      <c r="E29" s="704">
        <v>0</v>
      </c>
      <c r="F29" s="704">
        <v>0</v>
      </c>
      <c r="G29" s="717">
        <v>57098.03</v>
      </c>
    </row>
    <row r="30" spans="1:7" ht="19.5" thickTop="1" thickBot="1">
      <c r="A30" s="481" t="s">
        <v>71</v>
      </c>
      <c r="B30" s="482"/>
      <c r="C30" s="718">
        <f t="shared" ref="C30:F30" si="2">SUM(C13:C27)</f>
        <v>272551.03999999998</v>
      </c>
      <c r="D30" s="718">
        <f t="shared" si="2"/>
        <v>201811.42</v>
      </c>
      <c r="E30" s="718">
        <f t="shared" si="2"/>
        <v>1759642.7799999998</v>
      </c>
      <c r="F30" s="718">
        <f t="shared" si="2"/>
        <v>1961454.2</v>
      </c>
      <c r="G30" s="719">
        <f>SUM(G13:G29)</f>
        <v>2183470.3899999997</v>
      </c>
    </row>
    <row r="31" spans="1:7" ht="18.75" thickTop="1">
      <c r="A31" s="324" t="s">
        <v>72</v>
      </c>
      <c r="B31" s="325"/>
      <c r="C31" s="326"/>
      <c r="D31" s="326"/>
      <c r="E31" s="326"/>
      <c r="F31" s="326"/>
      <c r="G31" s="380"/>
    </row>
    <row r="32" spans="1:7" ht="18">
      <c r="A32" s="359" t="s">
        <v>77</v>
      </c>
      <c r="B32" s="360" t="s">
        <v>78</v>
      </c>
      <c r="C32" s="118">
        <v>45263</v>
      </c>
      <c r="D32" s="118">
        <v>0</v>
      </c>
      <c r="E32" s="702">
        <f t="shared" ref="E32:E35" si="3">F32-D32</f>
        <v>100000</v>
      </c>
      <c r="F32" s="720">
        <v>100000</v>
      </c>
      <c r="G32" s="720">
        <v>100000</v>
      </c>
    </row>
    <row r="33" spans="1:11" ht="18">
      <c r="A33" s="338" t="s">
        <v>81</v>
      </c>
      <c r="B33" s="339" t="s">
        <v>82</v>
      </c>
      <c r="C33" s="36">
        <v>51298.36</v>
      </c>
      <c r="D33" s="721">
        <v>0</v>
      </c>
      <c r="E33" s="702">
        <f t="shared" si="3"/>
        <v>50000</v>
      </c>
      <c r="F33" s="720">
        <v>50000</v>
      </c>
      <c r="G33" s="720">
        <v>74000</v>
      </c>
    </row>
    <row r="34" spans="1:11" ht="18">
      <c r="A34" s="359" t="s">
        <v>83</v>
      </c>
      <c r="B34" s="360" t="s">
        <v>84</v>
      </c>
      <c r="C34" s="118">
        <v>30000</v>
      </c>
      <c r="D34" s="118">
        <v>5000</v>
      </c>
      <c r="E34" s="702">
        <f t="shared" si="3"/>
        <v>55000</v>
      </c>
      <c r="F34" s="720">
        <v>60000</v>
      </c>
      <c r="G34" s="720">
        <v>60000</v>
      </c>
    </row>
    <row r="35" spans="1:11" ht="18.75" thickBot="1">
      <c r="A35" s="538" t="s">
        <v>691</v>
      </c>
      <c r="B35" s="722" t="s">
        <v>256</v>
      </c>
      <c r="C35" s="723">
        <v>148438</v>
      </c>
      <c r="D35" s="118">
        <v>0</v>
      </c>
      <c r="E35" s="702">
        <f t="shared" si="3"/>
        <v>150000</v>
      </c>
      <c r="F35" s="182">
        <v>150000</v>
      </c>
      <c r="G35" s="182">
        <v>0</v>
      </c>
    </row>
    <row r="36" spans="1:11" ht="19.5" thickTop="1" thickBot="1">
      <c r="A36" s="351" t="s">
        <v>162</v>
      </c>
      <c r="B36" s="367"/>
      <c r="C36" s="75">
        <f t="shared" ref="C36:F36" si="4">SUM(C32:C35)</f>
        <v>274999.36</v>
      </c>
      <c r="D36" s="724">
        <f t="shared" si="4"/>
        <v>5000</v>
      </c>
      <c r="E36" s="75">
        <f t="shared" si="4"/>
        <v>355000</v>
      </c>
      <c r="F36" s="75">
        <f t="shared" si="4"/>
        <v>360000</v>
      </c>
      <c r="G36" s="725">
        <f>SUM(G32:G35)</f>
        <v>234000</v>
      </c>
      <c r="J36" s="558"/>
      <c r="K36" s="558"/>
    </row>
    <row r="37" spans="1:11" ht="18.75" thickTop="1">
      <c r="A37" s="726"/>
      <c r="B37" s="404"/>
      <c r="C37" s="727"/>
      <c r="D37" s="727"/>
      <c r="E37" s="727"/>
      <c r="F37" s="727"/>
      <c r="G37" s="728"/>
    </row>
    <row r="38" spans="1:11" ht="18">
      <c r="A38" s="328" t="s">
        <v>172</v>
      </c>
      <c r="B38" s="409"/>
      <c r="C38" s="729"/>
      <c r="D38" s="729"/>
      <c r="E38" s="729"/>
      <c r="F38" s="729"/>
      <c r="G38" s="730"/>
    </row>
    <row r="39" spans="1:11" ht="35.25" thickBot="1">
      <c r="A39" s="731" t="s">
        <v>309</v>
      </c>
      <c r="B39" s="409"/>
      <c r="C39" s="729"/>
      <c r="D39" s="729"/>
      <c r="E39" s="729"/>
      <c r="F39" s="729"/>
      <c r="G39" s="730"/>
    </row>
    <row r="40" spans="1:11" ht="18.75" thickTop="1">
      <c r="A40" s="324" t="s">
        <v>522</v>
      </c>
      <c r="B40" s="409"/>
      <c r="C40" s="729"/>
      <c r="D40" s="729"/>
      <c r="E40" s="729"/>
      <c r="F40" s="732"/>
      <c r="G40" s="733"/>
    </row>
    <row r="41" spans="1:11" ht="18">
      <c r="A41" s="734" t="s">
        <v>233</v>
      </c>
      <c r="B41" s="735" t="s">
        <v>109</v>
      </c>
      <c r="C41" s="736">
        <v>5030919.6500000004</v>
      </c>
      <c r="D41" s="736">
        <v>2034450</v>
      </c>
      <c r="E41" s="736">
        <v>4099237.76</v>
      </c>
      <c r="F41" s="737">
        <v>6133687.7599999998</v>
      </c>
      <c r="G41" s="738">
        <v>14686295.4</v>
      </c>
    </row>
    <row r="42" spans="1:11" ht="18.75" thickBot="1">
      <c r="A42" s="538"/>
      <c r="B42" s="739"/>
      <c r="C42" s="118"/>
      <c r="D42" s="118"/>
      <c r="E42" s="702"/>
      <c r="F42" s="740"/>
      <c r="G42" s="740"/>
    </row>
    <row r="43" spans="1:11" ht="19.5" thickTop="1" thickBot="1">
      <c r="A43" s="351" t="s">
        <v>180</v>
      </c>
      <c r="B43" s="367"/>
      <c r="C43" s="75">
        <f>SUM(C41:C42)</f>
        <v>5030919.6500000004</v>
      </c>
      <c r="D43" s="75">
        <f>SUM(D41:D42)</f>
        <v>2034450</v>
      </c>
      <c r="E43" s="75">
        <f>SUM(E41:E42)</f>
        <v>4099237.76</v>
      </c>
      <c r="F43" s="75">
        <f>SUM(F41:F42)</f>
        <v>6133687.7599999998</v>
      </c>
      <c r="G43" s="75">
        <f>SUM(G41:G42)</f>
        <v>14686295.4</v>
      </c>
    </row>
    <row r="44" spans="1:11" ht="19.5" thickTop="1" thickBot="1">
      <c r="A44" s="351" t="s">
        <v>181</v>
      </c>
      <c r="B44" s="367"/>
      <c r="C44" s="75">
        <f>C43+C36+C30</f>
        <v>5578470.0500000007</v>
      </c>
      <c r="D44" s="75">
        <f>D43+D36+D30</f>
        <v>2241261.42</v>
      </c>
      <c r="E44" s="75">
        <f>E43+E36+E30</f>
        <v>6213880.5399999991</v>
      </c>
      <c r="F44" s="75">
        <f>F43+F36+F30</f>
        <v>8455141.959999999</v>
      </c>
      <c r="G44" s="75">
        <f>G43+G36+G30</f>
        <v>17103765.789999999</v>
      </c>
    </row>
    <row r="45" spans="1:11" ht="18.75" thickTop="1">
      <c r="A45" s="317"/>
      <c r="B45" s="317"/>
      <c r="C45" s="317"/>
      <c r="D45" s="317"/>
      <c r="E45" s="317"/>
      <c r="F45" s="317"/>
      <c r="G45" s="317"/>
    </row>
    <row r="46" spans="1:11" ht="18">
      <c r="A46" s="741"/>
      <c r="B46" s="1286"/>
      <c r="C46" s="1236"/>
      <c r="D46" s="1236"/>
      <c r="E46" s="369"/>
      <c r="F46" s="1240"/>
      <c r="G46" s="1241"/>
    </row>
    <row r="47" spans="1:11" ht="18">
      <c r="A47" s="317"/>
      <c r="B47" s="317"/>
      <c r="C47" s="317"/>
      <c r="D47" s="317"/>
      <c r="E47" s="317"/>
      <c r="F47" s="317"/>
      <c r="G47" s="317"/>
    </row>
    <row r="48" spans="1:11" ht="18">
      <c r="A48" s="317" t="s">
        <v>183</v>
      </c>
      <c r="B48" s="317" t="s">
        <v>184</v>
      </c>
      <c r="C48" s="317"/>
      <c r="D48" s="317"/>
      <c r="E48" s="317"/>
      <c r="F48" s="317" t="s">
        <v>185</v>
      </c>
      <c r="G48" s="317"/>
    </row>
    <row r="49" spans="1:7" ht="18">
      <c r="A49" s="317"/>
      <c r="B49" s="317"/>
      <c r="C49" s="317"/>
      <c r="D49" s="317"/>
      <c r="E49" s="317"/>
      <c r="F49" s="317"/>
      <c r="G49" s="317"/>
    </row>
    <row r="50" spans="1:7" ht="18">
      <c r="A50" s="317"/>
      <c r="B50" s="317"/>
      <c r="C50" s="317"/>
      <c r="D50" s="317"/>
      <c r="E50" s="317"/>
      <c r="F50" s="317"/>
      <c r="G50" s="317"/>
    </row>
    <row r="51" spans="1:7" ht="18">
      <c r="A51" s="317"/>
      <c r="B51" s="317"/>
      <c r="C51" s="317"/>
      <c r="D51" s="317"/>
      <c r="E51" s="317"/>
      <c r="F51" s="317"/>
      <c r="G51" s="317"/>
    </row>
    <row r="52" spans="1:7" ht="18">
      <c r="A52" s="317"/>
      <c r="B52" s="317"/>
      <c r="C52" s="317"/>
      <c r="D52" s="317"/>
      <c r="E52" s="317"/>
      <c r="F52" s="317"/>
      <c r="G52" s="317"/>
    </row>
    <row r="53" spans="1:7" ht="18">
      <c r="A53" s="317"/>
      <c r="B53" s="317"/>
      <c r="C53" s="317"/>
      <c r="D53" s="317"/>
      <c r="E53" s="317"/>
      <c r="F53" s="317"/>
      <c r="G53" s="317"/>
    </row>
    <row r="54" spans="1:7" ht="18">
      <c r="A54" s="317"/>
      <c r="B54" s="317"/>
      <c r="C54" s="317"/>
      <c r="D54" s="317"/>
      <c r="E54" s="317"/>
      <c r="F54" s="317"/>
      <c r="G54" s="317"/>
    </row>
    <row r="55" spans="1:7" ht="18">
      <c r="A55" s="741" t="s">
        <v>692</v>
      </c>
      <c r="B55" s="1239" t="s">
        <v>187</v>
      </c>
      <c r="C55" s="1287"/>
      <c r="D55" s="1287"/>
      <c r="E55" s="369"/>
      <c r="F55" s="1240" t="s">
        <v>188</v>
      </c>
      <c r="G55" s="1241"/>
    </row>
    <row r="56" spans="1:7" ht="18">
      <c r="A56" s="742" t="s">
        <v>693</v>
      </c>
      <c r="B56" s="1235" t="s">
        <v>190</v>
      </c>
      <c r="C56" s="1287"/>
      <c r="D56" s="1287"/>
      <c r="E56" s="372"/>
      <c r="F56" s="1237" t="s">
        <v>191</v>
      </c>
      <c r="G56" s="1241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/>
      <c r="B58" s="317"/>
      <c r="C58" s="317"/>
      <c r="D58" s="317"/>
      <c r="E58" s="317"/>
      <c r="F58" s="317"/>
      <c r="G58" s="317"/>
    </row>
    <row r="59" spans="1:7" ht="16.5">
      <c r="A59" s="1238" t="s">
        <v>194</v>
      </c>
      <c r="B59" s="1238"/>
      <c r="C59" s="1238"/>
      <c r="D59" s="1238"/>
      <c r="E59" s="1238"/>
      <c r="F59" s="1238"/>
      <c r="G59" s="1238"/>
    </row>
    <row r="60" spans="1:7" ht="18">
      <c r="A60" s="317"/>
      <c r="B60" s="317"/>
      <c r="C60" s="317"/>
      <c r="D60" s="317"/>
      <c r="E60" s="317"/>
      <c r="F60" s="317"/>
      <c r="G60" s="317"/>
    </row>
    <row r="61" spans="1:7" ht="18">
      <c r="A61" s="317"/>
      <c r="B61" s="317"/>
      <c r="C61" s="317"/>
      <c r="D61" s="317"/>
      <c r="E61" s="317"/>
      <c r="F61" s="317"/>
      <c r="G61" s="317"/>
    </row>
    <row r="62" spans="1:7" ht="18">
      <c r="A62" s="317"/>
      <c r="B62" s="317"/>
      <c r="C62" s="317"/>
      <c r="D62" s="317"/>
      <c r="E62" s="317"/>
      <c r="F62" s="317"/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8">
      <c r="A64" s="317"/>
      <c r="B64" s="317"/>
      <c r="C64" s="317"/>
      <c r="D64" s="317"/>
      <c r="E64" s="317"/>
      <c r="F64" s="317"/>
      <c r="G64" s="317"/>
    </row>
    <row r="65" spans="1:7" ht="18">
      <c r="A65" s="317"/>
      <c r="B65" s="317"/>
      <c r="C65" s="317"/>
      <c r="D65" s="317"/>
      <c r="E65" s="317"/>
      <c r="F65" s="317"/>
      <c r="G65" s="31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17"/>
      <c r="B68" s="317"/>
      <c r="C68" s="317"/>
      <c r="D68" s="317"/>
      <c r="E68" s="317"/>
      <c r="F68" s="317"/>
      <c r="G68" s="317"/>
    </row>
    <row r="69" spans="1:7" ht="18">
      <c r="A69" s="317"/>
      <c r="B69" s="317"/>
      <c r="C69" s="317"/>
      <c r="D69" s="317"/>
      <c r="E69" s="317"/>
      <c r="F69" s="317"/>
      <c r="G69" s="317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8">
      <c r="A72" s="317"/>
      <c r="B72" s="317"/>
      <c r="C72" s="317"/>
      <c r="D72" s="317"/>
      <c r="E72" s="317"/>
      <c r="F72" s="317"/>
      <c r="G72" s="317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 ht="18">
      <c r="A249" s="317"/>
      <c r="B249" s="317"/>
      <c r="C249" s="317"/>
      <c r="D249" s="317"/>
      <c r="E249" s="317"/>
      <c r="F249" s="317"/>
      <c r="G249" s="317"/>
    </row>
    <row r="250" spans="1:7" ht="18">
      <c r="A250" s="317"/>
      <c r="B250" s="317"/>
      <c r="C250" s="317"/>
      <c r="D250" s="317"/>
      <c r="E250" s="317"/>
      <c r="F250" s="317"/>
      <c r="G250" s="317"/>
    </row>
    <row r="251" spans="1:7" ht="18">
      <c r="A251" s="317"/>
      <c r="B251" s="317"/>
      <c r="C251" s="317"/>
      <c r="D251" s="317"/>
      <c r="E251" s="317"/>
      <c r="F251" s="317"/>
      <c r="G251" s="317"/>
    </row>
    <row r="252" spans="1:7" ht="18">
      <c r="A252" s="317"/>
      <c r="B252" s="317"/>
      <c r="C252" s="317"/>
      <c r="D252" s="317"/>
      <c r="E252" s="317"/>
      <c r="F252" s="317"/>
      <c r="G252" s="31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  <row r="994" spans="1:7">
      <c r="A994" s="377"/>
      <c r="B994" s="377"/>
      <c r="C994" s="377"/>
      <c r="D994" s="377"/>
      <c r="E994" s="377"/>
      <c r="F994" s="377"/>
      <c r="G994" s="377"/>
    </row>
  </sheetData>
  <sheetProtection algorithmName="SHA-512" hashValue="nv2/tT35Iw4F0wv88gsWZTRztO6DZRSvGH9sJRriBl5OPFr8+8FE8nszhNX3AwW20FCPjaQrJfpMdQRJT5gJDQ==" saltValue="hmMFllgMGD18Oa2NmqccBg==" spinCount="100000" sheet="1" objects="1" scenarios="1"/>
  <mergeCells count="15">
    <mergeCell ref="A59:G59"/>
    <mergeCell ref="B46:D46"/>
    <mergeCell ref="F46:G46"/>
    <mergeCell ref="B55:D55"/>
    <mergeCell ref="F55:G55"/>
    <mergeCell ref="B56:D56"/>
    <mergeCell ref="F56:G56"/>
    <mergeCell ref="A2:G2"/>
    <mergeCell ref="A3:G3"/>
    <mergeCell ref="A6:A8"/>
    <mergeCell ref="B6:B8"/>
    <mergeCell ref="C6:C8"/>
    <mergeCell ref="D6:F6"/>
    <mergeCell ref="G6:G8"/>
    <mergeCell ref="F7:F8"/>
  </mergeCells>
  <conditionalFormatting sqref="C34:C35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6E6BC-4493-4AD6-8B58-B51C2A0B6822}">
  <dimension ref="A1:K990"/>
  <sheetViews>
    <sheetView topLeftCell="A13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8" width="8.85546875" style="314"/>
    <col min="9" max="9" width="10.5703125" style="314" bestFit="1" customWidth="1"/>
    <col min="10" max="10" width="11.28515625" style="314" bestFit="1" customWidth="1"/>
    <col min="11" max="11" width="12.7109375" style="314" bestFit="1" customWidth="1"/>
    <col min="12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7" t="s">
        <v>694</v>
      </c>
      <c r="B5" s="317"/>
      <c r="C5" s="317"/>
      <c r="D5" s="318"/>
      <c r="E5" s="317"/>
      <c r="F5" s="317"/>
      <c r="G5" s="317"/>
    </row>
    <row r="6" spans="1:7" ht="16.5" thickTop="1" thickBot="1">
      <c r="A6" s="1228" t="s">
        <v>16</v>
      </c>
      <c r="B6" s="1228" t="s">
        <v>17</v>
      </c>
      <c r="C6" s="1230" t="s">
        <v>580</v>
      </c>
      <c r="D6" s="1231" t="s">
        <v>555</v>
      </c>
      <c r="E6" s="1242"/>
      <c r="F6" s="1243"/>
      <c r="G6" s="1228" t="s">
        <v>556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5"/>
      <c r="C10" s="325"/>
      <c r="D10" s="325"/>
      <c r="E10" s="325"/>
      <c r="F10" s="325"/>
      <c r="G10" s="380"/>
    </row>
    <row r="11" spans="1:7" ht="18">
      <c r="A11" s="328" t="s">
        <v>34</v>
      </c>
      <c r="B11" s="329"/>
      <c r="C11" s="540"/>
      <c r="D11" s="330"/>
      <c r="E11" s="330"/>
      <c r="F11" s="330"/>
      <c r="G11" s="381"/>
    </row>
    <row r="12" spans="1:7" ht="18">
      <c r="A12" s="333" t="s">
        <v>35</v>
      </c>
      <c r="B12" s="334"/>
      <c r="C12" s="334"/>
      <c r="D12" s="335"/>
      <c r="E12" s="335"/>
      <c r="F12" s="335"/>
      <c r="G12" s="383"/>
    </row>
    <row r="13" spans="1:7" ht="18">
      <c r="A13" s="338" t="s">
        <v>36</v>
      </c>
      <c r="B13" s="339" t="s">
        <v>37</v>
      </c>
      <c r="C13" s="36">
        <v>912972</v>
      </c>
      <c r="D13" s="36">
        <v>456486</v>
      </c>
      <c r="E13" s="36">
        <f>F13-D13</f>
        <v>1223346</v>
      </c>
      <c r="F13" s="37">
        <v>1679832</v>
      </c>
      <c r="G13" s="37">
        <v>1791619</v>
      </c>
    </row>
    <row r="14" spans="1:7" ht="18">
      <c r="A14" s="333" t="s">
        <v>40</v>
      </c>
      <c r="B14" s="360"/>
      <c r="C14" s="36"/>
      <c r="D14" s="36"/>
      <c r="E14" s="36"/>
      <c r="F14" s="37"/>
      <c r="G14" s="37"/>
    </row>
    <row r="15" spans="1:7" ht="18">
      <c r="A15" s="338" t="s">
        <v>41</v>
      </c>
      <c r="B15" s="339" t="s">
        <v>42</v>
      </c>
      <c r="C15" s="36">
        <v>72000</v>
      </c>
      <c r="D15" s="36">
        <v>36000</v>
      </c>
      <c r="E15" s="36">
        <f t="shared" ref="E15:E16" si="0">F15-D15</f>
        <v>108000</v>
      </c>
      <c r="F15" s="37">
        <v>144000</v>
      </c>
      <c r="G15" s="37">
        <v>144000</v>
      </c>
    </row>
    <row r="16" spans="1:7" ht="18">
      <c r="A16" s="338" t="s">
        <v>47</v>
      </c>
      <c r="B16" s="339" t="s">
        <v>48</v>
      </c>
      <c r="C16" s="36">
        <v>18000</v>
      </c>
      <c r="D16" s="38">
        <v>18000</v>
      </c>
      <c r="E16" s="36">
        <f t="shared" si="0"/>
        <v>18000</v>
      </c>
      <c r="F16" s="37">
        <v>36000</v>
      </c>
      <c r="G16" s="37">
        <v>42000</v>
      </c>
    </row>
    <row r="17" spans="1:9" ht="18">
      <c r="A17" s="338" t="s">
        <v>49</v>
      </c>
      <c r="B17" s="339" t="s">
        <v>50</v>
      </c>
      <c r="C17" s="38">
        <v>15000</v>
      </c>
      <c r="D17" s="38">
        <v>0</v>
      </c>
      <c r="E17" s="36">
        <v>30000</v>
      </c>
      <c r="F17" s="37">
        <v>30000</v>
      </c>
      <c r="G17" s="37">
        <v>30000</v>
      </c>
    </row>
    <row r="18" spans="1:9" ht="18">
      <c r="A18" s="338" t="s">
        <v>53</v>
      </c>
      <c r="B18" s="339" t="s">
        <v>54</v>
      </c>
      <c r="C18" s="36">
        <v>76081</v>
      </c>
      <c r="D18" s="38">
        <v>0</v>
      </c>
      <c r="E18" s="36">
        <f t="shared" ref="E18:E20" si="1">F18-D18</f>
        <v>139986</v>
      </c>
      <c r="F18" s="37">
        <v>139986</v>
      </c>
      <c r="G18" s="37">
        <v>153137</v>
      </c>
    </row>
    <row r="19" spans="1:9" ht="18">
      <c r="A19" s="338" t="s">
        <v>55</v>
      </c>
      <c r="B19" s="339" t="s">
        <v>56</v>
      </c>
      <c r="C19" s="36">
        <v>15000</v>
      </c>
      <c r="D19" s="38">
        <v>0</v>
      </c>
      <c r="E19" s="36">
        <f t="shared" si="1"/>
        <v>30000</v>
      </c>
      <c r="F19" s="37">
        <v>30000</v>
      </c>
      <c r="G19" s="37">
        <v>30000</v>
      </c>
    </row>
    <row r="20" spans="1:9" ht="18">
      <c r="A20" s="338" t="s">
        <v>57</v>
      </c>
      <c r="B20" s="339" t="s">
        <v>58</v>
      </c>
      <c r="C20" s="36">
        <v>76081</v>
      </c>
      <c r="D20" s="36">
        <v>76081</v>
      </c>
      <c r="E20" s="36">
        <f t="shared" si="1"/>
        <v>63905</v>
      </c>
      <c r="F20" s="37">
        <v>139986</v>
      </c>
      <c r="G20" s="37">
        <v>146562</v>
      </c>
    </row>
    <row r="21" spans="1:9" ht="18">
      <c r="A21" s="338" t="s">
        <v>557</v>
      </c>
      <c r="B21" s="339" t="s">
        <v>58</v>
      </c>
      <c r="C21" s="36">
        <v>0</v>
      </c>
      <c r="D21" s="36">
        <v>0</v>
      </c>
      <c r="E21" s="36"/>
      <c r="F21" s="37"/>
      <c r="G21" s="37">
        <v>42000</v>
      </c>
    </row>
    <row r="22" spans="1:9" ht="18">
      <c r="A22" s="333" t="s">
        <v>59</v>
      </c>
      <c r="B22" s="360"/>
      <c r="C22" s="36"/>
      <c r="D22" s="36"/>
      <c r="E22" s="36"/>
      <c r="F22" s="37"/>
      <c r="G22" s="37"/>
    </row>
    <row r="23" spans="1:9" ht="18">
      <c r="A23" s="338" t="s">
        <v>60</v>
      </c>
      <c r="B23" s="339" t="s">
        <v>61</v>
      </c>
      <c r="C23" s="36">
        <v>109556.64</v>
      </c>
      <c r="D23" s="36">
        <v>54778.32</v>
      </c>
      <c r="E23" s="36">
        <f t="shared" ref="E23:E26" si="2">F23-D23</f>
        <v>146801.51999999999</v>
      </c>
      <c r="F23" s="37">
        <v>201579.84</v>
      </c>
      <c r="G23" s="37">
        <v>220517.28</v>
      </c>
    </row>
    <row r="24" spans="1:9" ht="18">
      <c r="A24" s="338" t="s">
        <v>62</v>
      </c>
      <c r="B24" s="339" t="s">
        <v>63</v>
      </c>
      <c r="C24" s="36">
        <v>3600</v>
      </c>
      <c r="D24" s="36">
        <v>3300</v>
      </c>
      <c r="E24" s="36">
        <f t="shared" si="2"/>
        <v>3900</v>
      </c>
      <c r="F24" s="37">
        <v>7200</v>
      </c>
      <c r="G24" s="37">
        <v>14400</v>
      </c>
      <c r="I24" s="743"/>
    </row>
    <row r="25" spans="1:9" ht="18">
      <c r="A25" s="338" t="s">
        <v>64</v>
      </c>
      <c r="B25" s="339" t="s">
        <v>65</v>
      </c>
      <c r="C25" s="36">
        <v>18259.439999999999</v>
      </c>
      <c r="D25" s="36">
        <v>12172.98</v>
      </c>
      <c r="E25" s="36">
        <f t="shared" si="2"/>
        <v>25623.3</v>
      </c>
      <c r="F25" s="37">
        <v>37796.28</v>
      </c>
      <c r="G25" s="37">
        <v>44790.48</v>
      </c>
    </row>
    <row r="26" spans="1:9" ht="18">
      <c r="A26" s="341" t="s">
        <v>66</v>
      </c>
      <c r="B26" s="339" t="s">
        <v>67</v>
      </c>
      <c r="C26" s="72">
        <v>3600</v>
      </c>
      <c r="D26" s="72">
        <v>1800</v>
      </c>
      <c r="E26" s="72">
        <f t="shared" si="2"/>
        <v>5400</v>
      </c>
      <c r="F26" s="123">
        <v>7200</v>
      </c>
      <c r="G26" s="123">
        <v>7200</v>
      </c>
    </row>
    <row r="27" spans="1:9" ht="18">
      <c r="A27" s="333" t="s">
        <v>59</v>
      </c>
      <c r="B27" s="744"/>
      <c r="C27" s="129"/>
      <c r="D27" s="129"/>
      <c r="E27" s="129"/>
      <c r="F27" s="121"/>
      <c r="G27" s="121"/>
    </row>
    <row r="28" spans="1:9" ht="18.75" thickBot="1">
      <c r="A28" s="338" t="s">
        <v>558</v>
      </c>
      <c r="B28" s="745" t="s">
        <v>520</v>
      </c>
      <c r="C28" s="48">
        <v>0</v>
      </c>
      <c r="D28" s="48">
        <v>0</v>
      </c>
      <c r="E28" s="48"/>
      <c r="F28" s="49"/>
      <c r="G28" s="49">
        <f>71952.46+94.28</f>
        <v>72046.740000000005</v>
      </c>
    </row>
    <row r="29" spans="1:9" ht="19.5" thickTop="1" thickBot="1">
      <c r="A29" s="351" t="s">
        <v>71</v>
      </c>
      <c r="B29" s="352"/>
      <c r="C29" s="75">
        <f t="shared" ref="C29:F29" si="3">SUM(C13:C26)</f>
        <v>1320150.0799999998</v>
      </c>
      <c r="D29" s="75">
        <f t="shared" si="3"/>
        <v>658618.29999999993</v>
      </c>
      <c r="E29" s="75">
        <f t="shared" si="3"/>
        <v>1794961.82</v>
      </c>
      <c r="F29" s="75">
        <f t="shared" si="3"/>
        <v>2453580.1199999996</v>
      </c>
      <c r="G29" s="75">
        <f>SUM(G13:G28)</f>
        <v>2738272.5</v>
      </c>
    </row>
    <row r="30" spans="1:9" ht="18.75" thickTop="1">
      <c r="A30" s="355" t="s">
        <v>72</v>
      </c>
      <c r="B30" s="356"/>
      <c r="C30" s="249"/>
      <c r="D30" s="249"/>
      <c r="E30" s="249"/>
      <c r="F30" s="249"/>
      <c r="G30" s="217"/>
    </row>
    <row r="31" spans="1:9" ht="18">
      <c r="A31" s="338" t="s">
        <v>81</v>
      </c>
      <c r="B31" s="339" t="s">
        <v>82</v>
      </c>
      <c r="C31" s="36">
        <v>53930</v>
      </c>
      <c r="D31" s="96">
        <v>29660.5</v>
      </c>
      <c r="E31" s="36">
        <f t="shared" ref="E31:E33" si="4">F31-D31</f>
        <v>89339.5</v>
      </c>
      <c r="F31" s="37">
        <v>119000</v>
      </c>
      <c r="G31" s="37">
        <v>100000</v>
      </c>
    </row>
    <row r="32" spans="1:9" ht="18">
      <c r="A32" s="338" t="s">
        <v>83</v>
      </c>
      <c r="B32" s="360" t="s">
        <v>84</v>
      </c>
      <c r="C32" s="38">
        <v>0</v>
      </c>
      <c r="D32" s="98">
        <v>25000</v>
      </c>
      <c r="E32" s="36">
        <f t="shared" si="4"/>
        <v>35000</v>
      </c>
      <c r="F32" s="37">
        <v>60000</v>
      </c>
      <c r="G32" s="37">
        <v>60000</v>
      </c>
    </row>
    <row r="33" spans="1:11" ht="18">
      <c r="A33" s="338" t="s">
        <v>199</v>
      </c>
      <c r="B33" s="360" t="s">
        <v>200</v>
      </c>
      <c r="C33" s="36">
        <v>1373700</v>
      </c>
      <c r="D33" s="36">
        <v>752130</v>
      </c>
      <c r="E33" s="36">
        <f t="shared" si="4"/>
        <v>888270</v>
      </c>
      <c r="F33" s="37">
        <v>1640400</v>
      </c>
      <c r="G33" s="37">
        <v>885800</v>
      </c>
    </row>
    <row r="34" spans="1:11" ht="18">
      <c r="A34" s="359" t="s">
        <v>108</v>
      </c>
      <c r="B34" s="356" t="s">
        <v>109</v>
      </c>
      <c r="C34" s="36"/>
      <c r="D34" s="56"/>
      <c r="E34" s="36"/>
      <c r="F34" s="37"/>
      <c r="G34" s="37"/>
    </row>
    <row r="35" spans="1:11" ht="18">
      <c r="A35" s="541" t="s">
        <v>695</v>
      </c>
      <c r="B35" s="356"/>
      <c r="C35" s="55">
        <v>0</v>
      </c>
      <c r="D35" s="55">
        <v>0</v>
      </c>
      <c r="E35" s="55">
        <v>0</v>
      </c>
      <c r="F35" s="83">
        <v>0</v>
      </c>
      <c r="G35" s="37">
        <v>200500</v>
      </c>
    </row>
    <row r="36" spans="1:11" ht="18">
      <c r="A36" s="541" t="s">
        <v>312</v>
      </c>
      <c r="B36" s="356"/>
      <c r="C36" s="38">
        <v>7480</v>
      </c>
      <c r="D36" s="55">
        <v>0</v>
      </c>
      <c r="E36" s="36">
        <f t="shared" ref="E36:E37" si="5">F36-D36</f>
        <v>150000</v>
      </c>
      <c r="F36" s="37">
        <v>150000</v>
      </c>
      <c r="G36" s="37">
        <v>139010</v>
      </c>
    </row>
    <row r="37" spans="1:11" ht="18.75" thickBot="1">
      <c r="A37" s="541" t="s">
        <v>313</v>
      </c>
      <c r="B37" s="356"/>
      <c r="C37" s="38">
        <v>49652.5</v>
      </c>
      <c r="D37" s="55">
        <v>0</v>
      </c>
      <c r="E37" s="36">
        <f t="shared" si="5"/>
        <v>238000</v>
      </c>
      <c r="F37" s="37">
        <v>238000</v>
      </c>
      <c r="G37" s="37">
        <v>250000</v>
      </c>
    </row>
    <row r="38" spans="1:11" ht="19.5" thickTop="1" thickBot="1">
      <c r="A38" s="351" t="s">
        <v>162</v>
      </c>
      <c r="B38" s="367"/>
      <c r="C38" s="75">
        <f>SUM(C31:C37)</f>
        <v>1484762.5</v>
      </c>
      <c r="D38" s="75">
        <f>SUM(D31:D37)</f>
        <v>806790.5</v>
      </c>
      <c r="E38" s="75">
        <f>SUM(E31:E37)</f>
        <v>1400609.5</v>
      </c>
      <c r="F38" s="75">
        <f>SUM(F31:F37)</f>
        <v>2207400</v>
      </c>
      <c r="G38" s="75">
        <f>SUM(G31:G37)</f>
        <v>1635310</v>
      </c>
      <c r="J38" s="558"/>
      <c r="K38" s="558"/>
    </row>
    <row r="39" spans="1:11" ht="19.5" thickTop="1" thickBot="1">
      <c r="A39" s="534"/>
      <c r="B39" s="391"/>
      <c r="C39" s="48"/>
      <c r="D39" s="229"/>
      <c r="E39" s="229"/>
      <c r="F39" s="141"/>
      <c r="G39" s="746"/>
    </row>
    <row r="40" spans="1:11" ht="19.5" thickTop="1" thickBot="1">
      <c r="A40" s="351" t="s">
        <v>181</v>
      </c>
      <c r="B40" s="367"/>
      <c r="C40" s="75">
        <f>C38+C29</f>
        <v>2804912.58</v>
      </c>
      <c r="D40" s="75">
        <f t="shared" ref="D40:E40" si="6">D38+D29</f>
        <v>1465408.7999999998</v>
      </c>
      <c r="E40" s="75">
        <f t="shared" si="6"/>
        <v>3195571.3200000003</v>
      </c>
      <c r="F40" s="75">
        <f>F38+F29</f>
        <v>4660980.1199999992</v>
      </c>
      <c r="G40" s="75">
        <f>G38+G29</f>
        <v>4373582.5</v>
      </c>
    </row>
    <row r="41" spans="1:11" ht="18.75" thickTop="1">
      <c r="A41" s="317"/>
      <c r="B41" s="317"/>
      <c r="C41" s="317"/>
      <c r="D41" s="317"/>
      <c r="E41" s="317"/>
      <c r="F41" s="317"/>
      <c r="G41" s="317"/>
    </row>
    <row r="42" spans="1:11" ht="18">
      <c r="A42" s="317"/>
      <c r="B42" s="318"/>
      <c r="C42" s="317"/>
      <c r="D42" s="317"/>
      <c r="E42" s="317"/>
      <c r="F42" s="317"/>
      <c r="G42" s="317"/>
    </row>
    <row r="43" spans="1:11" ht="18">
      <c r="A43" s="317"/>
      <c r="B43" s="317"/>
      <c r="C43" s="317"/>
      <c r="D43" s="317"/>
      <c r="E43" s="317"/>
      <c r="F43" s="317"/>
      <c r="G43" s="747"/>
    </row>
    <row r="44" spans="1:11" ht="18">
      <c r="A44" s="317"/>
      <c r="B44" s="317"/>
      <c r="C44" s="317"/>
      <c r="D44" s="317"/>
      <c r="E44" s="317"/>
      <c r="F44" s="317"/>
      <c r="G44" s="317"/>
    </row>
    <row r="45" spans="1:11" ht="18">
      <c r="A45" s="317"/>
      <c r="B45" s="317"/>
      <c r="C45" s="317"/>
      <c r="D45" s="317"/>
      <c r="E45" s="317"/>
      <c r="F45" s="317"/>
      <c r="G45" s="317"/>
    </row>
    <row r="46" spans="1:11" ht="18">
      <c r="A46" s="317"/>
      <c r="B46" s="317"/>
      <c r="C46" s="317"/>
      <c r="D46" s="317"/>
      <c r="E46" s="317"/>
      <c r="F46" s="317"/>
      <c r="G46" s="317"/>
    </row>
    <row r="47" spans="1:11" ht="18">
      <c r="A47" s="317"/>
      <c r="B47" s="317"/>
      <c r="C47" s="317"/>
      <c r="D47" s="317"/>
      <c r="E47" s="317"/>
      <c r="F47" s="317"/>
      <c r="G47" s="317"/>
    </row>
    <row r="48" spans="1:11" ht="18">
      <c r="A48" s="317"/>
      <c r="B48" s="317"/>
      <c r="C48" s="317"/>
      <c r="D48" s="317"/>
      <c r="E48" s="317"/>
      <c r="F48" s="317"/>
      <c r="G48" s="317"/>
    </row>
    <row r="49" spans="1:7" ht="18">
      <c r="A49" s="309"/>
      <c r="B49" s="1239"/>
      <c r="C49" s="1236"/>
      <c r="D49" s="1236"/>
      <c r="E49" s="369"/>
      <c r="F49" s="1240"/>
      <c r="G49" s="1241"/>
    </row>
    <row r="50" spans="1:7" ht="18">
      <c r="A50" s="373"/>
      <c r="B50" s="1235"/>
      <c r="C50" s="1236"/>
      <c r="D50" s="1236"/>
      <c r="E50" s="372"/>
      <c r="F50" s="1237"/>
      <c r="G50" s="1241"/>
    </row>
    <row r="51" spans="1:7" ht="18">
      <c r="A51" s="317"/>
      <c r="B51" s="317"/>
      <c r="C51" s="317"/>
      <c r="D51" s="317"/>
      <c r="E51" s="317"/>
      <c r="F51" s="317"/>
      <c r="G51" s="317"/>
    </row>
    <row r="52" spans="1:7" ht="18">
      <c r="A52" s="317"/>
      <c r="B52" s="317"/>
      <c r="C52" s="317"/>
      <c r="D52" s="317"/>
      <c r="E52" s="317"/>
      <c r="F52" s="317"/>
      <c r="G52" s="317"/>
    </row>
    <row r="53" spans="1:7" ht="18">
      <c r="A53" s="317"/>
      <c r="B53" s="317"/>
      <c r="C53" s="317"/>
      <c r="D53" s="317"/>
      <c r="E53" s="317"/>
      <c r="F53" s="317"/>
      <c r="G53" s="317"/>
    </row>
    <row r="54" spans="1:7" ht="18">
      <c r="A54" s="317"/>
      <c r="B54" s="317"/>
      <c r="C54" s="317"/>
      <c r="D54" s="317"/>
      <c r="E54" s="317"/>
      <c r="F54" s="317"/>
      <c r="G54" s="317"/>
    </row>
    <row r="55" spans="1:7" ht="18">
      <c r="A55" s="317"/>
      <c r="B55" s="317"/>
      <c r="C55" s="317"/>
      <c r="D55" s="317"/>
      <c r="E55" s="317"/>
      <c r="F55" s="317"/>
      <c r="G55" s="317"/>
    </row>
    <row r="56" spans="1:7" ht="18">
      <c r="A56" s="317"/>
      <c r="B56" s="317"/>
      <c r="C56" s="317"/>
      <c r="D56" s="317"/>
      <c r="E56" s="317"/>
      <c r="F56" s="317"/>
      <c r="G56" s="317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/>
      <c r="B58" s="317"/>
      <c r="C58" s="317"/>
      <c r="D58" s="317"/>
      <c r="E58" s="317"/>
      <c r="F58" s="317"/>
      <c r="G58" s="317"/>
    </row>
    <row r="59" spans="1:7" ht="18">
      <c r="A59" s="317"/>
      <c r="B59" s="317"/>
      <c r="C59" s="317"/>
      <c r="D59" s="317"/>
      <c r="E59" s="317"/>
      <c r="F59" s="317"/>
      <c r="G59" s="317"/>
    </row>
    <row r="60" spans="1:7" ht="18">
      <c r="A60" s="317"/>
      <c r="B60" s="317"/>
      <c r="C60" s="317"/>
      <c r="D60" s="317"/>
      <c r="E60" s="317"/>
      <c r="F60" s="317"/>
      <c r="G60" s="317"/>
    </row>
    <row r="61" spans="1:7" ht="18">
      <c r="A61" s="317" t="s">
        <v>183</v>
      </c>
      <c r="B61" s="317" t="s">
        <v>184</v>
      </c>
      <c r="C61" s="317"/>
      <c r="D61" s="317"/>
      <c r="E61" s="317"/>
      <c r="F61" s="317" t="s">
        <v>185</v>
      </c>
      <c r="G61" s="317"/>
    </row>
    <row r="62" spans="1:7" ht="18">
      <c r="A62" s="317"/>
      <c r="B62" s="317"/>
      <c r="C62" s="317"/>
      <c r="D62" s="317"/>
      <c r="E62" s="317"/>
      <c r="F62" s="317"/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8">
      <c r="A64" s="317"/>
      <c r="B64" s="317"/>
      <c r="C64" s="317"/>
      <c r="D64" s="317"/>
      <c r="E64" s="317"/>
      <c r="F64" s="317"/>
      <c r="G64" s="317"/>
    </row>
    <row r="65" spans="1:7" ht="18">
      <c r="A65" s="317"/>
      <c r="B65" s="317"/>
      <c r="C65" s="317"/>
      <c r="D65" s="317"/>
      <c r="E65" s="317"/>
      <c r="F65" s="317"/>
      <c r="G65" s="31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09" t="s">
        <v>315</v>
      </c>
      <c r="B68" s="1239" t="s">
        <v>187</v>
      </c>
      <c r="C68" s="1236"/>
      <c r="D68" s="1236"/>
      <c r="E68" s="369"/>
      <c r="F68" s="1240" t="s">
        <v>188</v>
      </c>
      <c r="G68" s="1241"/>
    </row>
    <row r="69" spans="1:7" ht="18">
      <c r="A69" s="373" t="s">
        <v>316</v>
      </c>
      <c r="B69" s="1235" t="s">
        <v>190</v>
      </c>
      <c r="C69" s="1236"/>
      <c r="D69" s="1236"/>
      <c r="E69" s="372"/>
      <c r="F69" s="1237" t="s">
        <v>191</v>
      </c>
      <c r="G69" s="1241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6.5">
      <c r="A72" s="1238" t="s">
        <v>194</v>
      </c>
      <c r="B72" s="1238"/>
      <c r="C72" s="1238"/>
      <c r="D72" s="1238"/>
      <c r="E72" s="1238"/>
      <c r="F72" s="1238"/>
      <c r="G72" s="1238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>
      <c r="A247" s="377"/>
      <c r="B247" s="377"/>
      <c r="C247" s="377"/>
      <c r="D247" s="377"/>
      <c r="E247" s="377"/>
      <c r="F247" s="377"/>
      <c r="G247" s="377"/>
    </row>
    <row r="248" spans="1:7">
      <c r="A248" s="377"/>
      <c r="B248" s="377"/>
      <c r="C248" s="377"/>
      <c r="D248" s="377"/>
      <c r="E248" s="377"/>
      <c r="F248" s="377"/>
      <c r="G248" s="377"/>
    </row>
    <row r="249" spans="1:7">
      <c r="A249" s="377"/>
      <c r="B249" s="377"/>
      <c r="C249" s="377"/>
      <c r="D249" s="377"/>
      <c r="E249" s="377"/>
      <c r="F249" s="377"/>
      <c r="G249" s="377"/>
    </row>
    <row r="250" spans="1:7">
      <c r="A250" s="377"/>
      <c r="B250" s="377"/>
      <c r="C250" s="377"/>
      <c r="D250" s="377"/>
      <c r="E250" s="377"/>
      <c r="F250" s="377"/>
      <c r="G250" s="377"/>
    </row>
    <row r="251" spans="1:7">
      <c r="A251" s="377"/>
      <c r="B251" s="377"/>
      <c r="C251" s="377"/>
      <c r="D251" s="377"/>
      <c r="E251" s="377"/>
      <c r="F251" s="377"/>
      <c r="G251" s="377"/>
    </row>
    <row r="252" spans="1:7">
      <c r="A252" s="377"/>
      <c r="B252" s="377"/>
      <c r="C252" s="377"/>
      <c r="D252" s="377"/>
      <c r="E252" s="377"/>
      <c r="F252" s="377"/>
      <c r="G252" s="37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</sheetData>
  <sheetProtection algorithmName="SHA-512" hashValue="3oVoORWRK2qMe9N2+LarVnak+E7WPFoOXWxqgvVCME2z5mhrt/Zbh4pAwPtakIhjYN72odcd9OQHn9uFAV5Zag==" saltValue="m2McXJ7fDwQTk9P0N/EzPQ==" spinCount="100000" sheet="1" objects="1" scenarios="1"/>
  <mergeCells count="17">
    <mergeCell ref="B69:D69"/>
    <mergeCell ref="F69:G69"/>
    <mergeCell ref="A72:G72"/>
    <mergeCell ref="B49:D49"/>
    <mergeCell ref="F49:G49"/>
    <mergeCell ref="B50:D50"/>
    <mergeCell ref="F50:G50"/>
    <mergeCell ref="B68:D68"/>
    <mergeCell ref="F68:G68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5F4B1-6801-429C-BBC0-B726B14041D0}">
  <dimension ref="A1:G1008"/>
  <sheetViews>
    <sheetView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7" style="314" customWidth="1"/>
    <col min="8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7" t="s">
        <v>696</v>
      </c>
      <c r="B5" s="317"/>
      <c r="C5" s="317"/>
      <c r="D5" s="318"/>
      <c r="E5" s="317"/>
      <c r="F5" s="317"/>
      <c r="G5" s="317"/>
    </row>
    <row r="6" spans="1:7" ht="16.5" thickTop="1" thickBot="1">
      <c r="A6" s="1228" t="s">
        <v>16</v>
      </c>
      <c r="B6" s="1228" t="s">
        <v>267</v>
      </c>
      <c r="C6" s="1230" t="s">
        <v>697</v>
      </c>
      <c r="D6" s="1231" t="s">
        <v>581</v>
      </c>
      <c r="E6" s="1242"/>
      <c r="F6" s="1243"/>
      <c r="G6" s="1228" t="s">
        <v>556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6"/>
      <c r="C10" s="326"/>
      <c r="D10" s="326"/>
      <c r="E10" s="326"/>
      <c r="F10" s="326"/>
      <c r="G10" s="380"/>
    </row>
    <row r="11" spans="1:7" ht="18">
      <c r="A11" s="328" t="s">
        <v>34</v>
      </c>
      <c r="B11" s="748"/>
      <c r="C11" s="330"/>
      <c r="D11" s="330"/>
      <c r="E11" s="330"/>
      <c r="F11" s="330"/>
      <c r="G11" s="381"/>
    </row>
    <row r="12" spans="1:7" ht="18">
      <c r="A12" s="333" t="s">
        <v>35</v>
      </c>
      <c r="B12" s="335"/>
      <c r="C12" s="335"/>
      <c r="D12" s="335"/>
      <c r="E12" s="335"/>
      <c r="F12" s="335"/>
      <c r="G12" s="383"/>
    </row>
    <row r="13" spans="1:7" ht="18">
      <c r="A13" s="338" t="s">
        <v>36</v>
      </c>
      <c r="B13" s="425" t="s">
        <v>37</v>
      </c>
      <c r="C13" s="38">
        <v>3777948</v>
      </c>
      <c r="D13" s="38">
        <v>1771974</v>
      </c>
      <c r="E13" s="38">
        <f t="shared" ref="E13:E14" si="0">F13-D13</f>
        <v>3074310</v>
      </c>
      <c r="F13" s="57">
        <v>4846284</v>
      </c>
      <c r="G13" s="57">
        <v>5145248</v>
      </c>
    </row>
    <row r="14" spans="1:7" ht="18">
      <c r="A14" s="338" t="s">
        <v>216</v>
      </c>
      <c r="B14" s="425" t="s">
        <v>39</v>
      </c>
      <c r="C14" s="38">
        <v>13000</v>
      </c>
      <c r="D14" s="38">
        <v>0</v>
      </c>
      <c r="E14" s="38">
        <f t="shared" si="0"/>
        <v>156000</v>
      </c>
      <c r="F14" s="57">
        <v>156000</v>
      </c>
      <c r="G14" s="57">
        <v>165015</v>
      </c>
    </row>
    <row r="15" spans="1:7" ht="18">
      <c r="A15" s="333" t="s">
        <v>40</v>
      </c>
      <c r="B15" s="435"/>
      <c r="C15" s="38"/>
      <c r="D15" s="38"/>
      <c r="E15" s="38"/>
      <c r="F15" s="57" t="s">
        <v>317</v>
      </c>
      <c r="G15" s="57" t="s">
        <v>317</v>
      </c>
    </row>
    <row r="16" spans="1:7" ht="18">
      <c r="A16" s="338" t="s">
        <v>41</v>
      </c>
      <c r="B16" s="425" t="s">
        <v>42</v>
      </c>
      <c r="C16" s="38">
        <v>446000</v>
      </c>
      <c r="D16" s="38">
        <v>204000</v>
      </c>
      <c r="E16" s="38">
        <f t="shared" ref="E16:E22" si="1">F16-D16</f>
        <v>372000</v>
      </c>
      <c r="F16" s="57">
        <v>576000</v>
      </c>
      <c r="G16" s="57">
        <v>576000</v>
      </c>
    </row>
    <row r="17" spans="1:7" ht="18">
      <c r="A17" s="338" t="s">
        <v>47</v>
      </c>
      <c r="B17" s="425" t="s">
        <v>48</v>
      </c>
      <c r="C17" s="38">
        <v>102000</v>
      </c>
      <c r="D17" s="38">
        <v>102000</v>
      </c>
      <c r="E17" s="38">
        <f t="shared" si="1"/>
        <v>42000</v>
      </c>
      <c r="F17" s="57">
        <v>144000</v>
      </c>
      <c r="G17" s="57">
        <v>168000</v>
      </c>
    </row>
    <row r="18" spans="1:7" ht="18">
      <c r="A18" s="338" t="s">
        <v>49</v>
      </c>
      <c r="B18" s="339" t="s">
        <v>50</v>
      </c>
      <c r="C18" s="38">
        <v>85000</v>
      </c>
      <c r="D18" s="38">
        <v>0</v>
      </c>
      <c r="E18" s="38">
        <f t="shared" si="1"/>
        <v>120000</v>
      </c>
      <c r="F18" s="57">
        <v>120000</v>
      </c>
      <c r="G18" s="57">
        <v>120000</v>
      </c>
    </row>
    <row r="19" spans="1:7" ht="18">
      <c r="A19" s="359" t="s">
        <v>318</v>
      </c>
      <c r="B19" s="435" t="s">
        <v>52</v>
      </c>
      <c r="C19" s="38">
        <v>0</v>
      </c>
      <c r="D19" s="38">
        <v>43165.84</v>
      </c>
      <c r="E19" s="38">
        <f t="shared" si="1"/>
        <v>6834.1600000000035</v>
      </c>
      <c r="F19" s="57">
        <v>50000</v>
      </c>
      <c r="G19" s="57">
        <v>50000</v>
      </c>
    </row>
    <row r="20" spans="1:7" ht="18">
      <c r="A20" s="338" t="s">
        <v>53</v>
      </c>
      <c r="B20" s="425" t="s">
        <v>54</v>
      </c>
      <c r="C20" s="38">
        <v>295329</v>
      </c>
      <c r="D20" s="38">
        <v>0</v>
      </c>
      <c r="E20" s="38">
        <f t="shared" si="1"/>
        <v>416857</v>
      </c>
      <c r="F20" s="57">
        <v>416857</v>
      </c>
      <c r="G20" s="57">
        <v>453096</v>
      </c>
    </row>
    <row r="21" spans="1:7" ht="18">
      <c r="A21" s="338" t="s">
        <v>55</v>
      </c>
      <c r="B21" s="425" t="s">
        <v>56</v>
      </c>
      <c r="C21" s="38">
        <v>85000</v>
      </c>
      <c r="D21" s="38">
        <v>0</v>
      </c>
      <c r="E21" s="38">
        <f t="shared" si="1"/>
        <v>120000</v>
      </c>
      <c r="F21" s="57">
        <v>120000</v>
      </c>
      <c r="G21" s="57">
        <v>120000</v>
      </c>
    </row>
    <row r="22" spans="1:7" ht="18">
      <c r="A22" s="338" t="s">
        <v>57</v>
      </c>
      <c r="B22" s="425" t="s">
        <v>58</v>
      </c>
      <c r="C22" s="38">
        <v>321329</v>
      </c>
      <c r="D22" s="38">
        <v>295329</v>
      </c>
      <c r="E22" s="38">
        <f t="shared" si="1"/>
        <v>121528</v>
      </c>
      <c r="F22" s="57">
        <v>416857</v>
      </c>
      <c r="G22" s="57">
        <v>434969</v>
      </c>
    </row>
    <row r="23" spans="1:7" ht="18">
      <c r="A23" s="338" t="s">
        <v>557</v>
      </c>
      <c r="B23" s="425" t="s">
        <v>58</v>
      </c>
      <c r="C23" s="38">
        <v>0</v>
      </c>
      <c r="D23" s="38">
        <v>0</v>
      </c>
      <c r="E23" s="38">
        <v>0</v>
      </c>
      <c r="F23" s="57">
        <v>0</v>
      </c>
      <c r="G23" s="57">
        <v>168000</v>
      </c>
    </row>
    <row r="24" spans="1:7" ht="18">
      <c r="A24" s="333" t="s">
        <v>59</v>
      </c>
      <c r="B24" s="435"/>
      <c r="C24" s="38"/>
      <c r="D24" s="38"/>
      <c r="E24" s="38"/>
      <c r="F24" s="57"/>
      <c r="G24" s="57"/>
    </row>
    <row r="25" spans="1:7" ht="18">
      <c r="A25" s="338" t="s">
        <v>60</v>
      </c>
      <c r="B25" s="425" t="s">
        <v>61</v>
      </c>
      <c r="C25" s="38">
        <v>454913.76</v>
      </c>
      <c r="D25" s="38">
        <v>212636.88</v>
      </c>
      <c r="E25" s="38">
        <f t="shared" ref="E25:E28" si="2">F25-D25</f>
        <v>387637.19999999995</v>
      </c>
      <c r="F25" s="57">
        <v>600274.07999999996</v>
      </c>
      <c r="G25" s="57">
        <v>637231.56000000006</v>
      </c>
    </row>
    <row r="26" spans="1:7" ht="18">
      <c r="A26" s="338" t="s">
        <v>62</v>
      </c>
      <c r="B26" s="425" t="s">
        <v>63</v>
      </c>
      <c r="C26" s="38">
        <v>22300</v>
      </c>
      <c r="D26" s="38">
        <v>18700</v>
      </c>
      <c r="E26" s="38">
        <f t="shared" si="2"/>
        <v>10100</v>
      </c>
      <c r="F26" s="57">
        <v>28800</v>
      </c>
      <c r="G26" s="57">
        <v>57600</v>
      </c>
    </row>
    <row r="27" spans="1:7" ht="18">
      <c r="A27" s="338" t="s">
        <v>64</v>
      </c>
      <c r="B27" s="425" t="s">
        <v>65</v>
      </c>
      <c r="C27" s="38">
        <v>75818.960000000006</v>
      </c>
      <c r="D27" s="38">
        <v>47719.95</v>
      </c>
      <c r="E27" s="38">
        <f t="shared" si="2"/>
        <v>64831.650000000009</v>
      </c>
      <c r="F27" s="57">
        <v>112551.6</v>
      </c>
      <c r="G27" s="57">
        <v>130386.2</v>
      </c>
    </row>
    <row r="28" spans="1:7" ht="18">
      <c r="A28" s="341" t="s">
        <v>66</v>
      </c>
      <c r="B28" s="749" t="s">
        <v>67</v>
      </c>
      <c r="C28" s="97">
        <v>22300</v>
      </c>
      <c r="D28" s="97">
        <v>10200</v>
      </c>
      <c r="E28" s="97">
        <f t="shared" si="2"/>
        <v>18600</v>
      </c>
      <c r="F28" s="99">
        <v>28800</v>
      </c>
      <c r="G28" s="99">
        <v>28800</v>
      </c>
    </row>
    <row r="29" spans="1:7" ht="18">
      <c r="A29" s="333" t="s">
        <v>68</v>
      </c>
      <c r="B29" s="750"/>
      <c r="C29" s="751"/>
      <c r="D29" s="751"/>
      <c r="E29" s="751"/>
      <c r="F29" s="346"/>
      <c r="G29" s="346"/>
    </row>
    <row r="30" spans="1:7" ht="18.75" thickBot="1">
      <c r="A30" s="338" t="s">
        <v>635</v>
      </c>
      <c r="B30" s="752" t="s">
        <v>520</v>
      </c>
      <c r="C30" s="753">
        <v>0</v>
      </c>
      <c r="D30" s="753">
        <v>0</v>
      </c>
      <c r="E30" s="753">
        <v>0</v>
      </c>
      <c r="F30" s="746">
        <v>0</v>
      </c>
      <c r="G30" s="746">
        <v>213263.26</v>
      </c>
    </row>
    <row r="31" spans="1:7" ht="19.5" thickTop="1" thickBot="1">
      <c r="A31" s="351" t="s">
        <v>71</v>
      </c>
      <c r="B31" s="352"/>
      <c r="C31" s="112">
        <f>SUM(C13:C28)</f>
        <v>5700938.7199999997</v>
      </c>
      <c r="D31" s="112">
        <f>SUM(D13:D28)</f>
        <v>2705725.67</v>
      </c>
      <c r="E31" s="112">
        <f>SUM(E13:E28)</f>
        <v>4910698.0100000007</v>
      </c>
      <c r="F31" s="112">
        <f>SUM(F13:F28)</f>
        <v>7616423.6799999997</v>
      </c>
      <c r="G31" s="112">
        <f>SUM(G13:G30)</f>
        <v>8467609.0200000014</v>
      </c>
    </row>
    <row r="32" spans="1:7" ht="18.75" thickTop="1">
      <c r="A32" s="355" t="s">
        <v>72</v>
      </c>
      <c r="B32" s="356"/>
      <c r="C32" s="754"/>
      <c r="D32" s="754"/>
      <c r="E32" s="754"/>
      <c r="F32" s="755"/>
      <c r="G32" s="358"/>
    </row>
    <row r="33" spans="1:7" ht="18">
      <c r="A33" s="359" t="s">
        <v>77</v>
      </c>
      <c r="B33" s="360" t="s">
        <v>78</v>
      </c>
      <c r="C33" s="38">
        <v>37571</v>
      </c>
      <c r="D33" s="38">
        <v>0</v>
      </c>
      <c r="E33" s="38">
        <f t="shared" ref="E33:E34" si="3">F33-D33</f>
        <v>75000</v>
      </c>
      <c r="F33" s="145">
        <v>75000</v>
      </c>
      <c r="G33" s="145">
        <v>75000</v>
      </c>
    </row>
    <row r="34" spans="1:7" ht="18.75" thickBot="1">
      <c r="A34" s="341" t="s">
        <v>81</v>
      </c>
      <c r="B34" s="342" t="s">
        <v>82</v>
      </c>
      <c r="C34" s="97">
        <v>49780</v>
      </c>
      <c r="D34" s="97">
        <v>5584</v>
      </c>
      <c r="E34" s="97">
        <f t="shared" si="3"/>
        <v>44416</v>
      </c>
      <c r="F34" s="99">
        <v>50000</v>
      </c>
      <c r="G34" s="99">
        <v>50000</v>
      </c>
    </row>
    <row r="35" spans="1:7" ht="19.5" thickTop="1" thickBot="1">
      <c r="A35" s="756" t="s">
        <v>162</v>
      </c>
      <c r="B35" s="757"/>
      <c r="C35" s="758">
        <f>SUM(C33:C34)</f>
        <v>87351</v>
      </c>
      <c r="D35" s="758">
        <f>SUM(D33:D34)</f>
        <v>5584</v>
      </c>
      <c r="E35" s="758">
        <f>SUM(E33:E34)</f>
        <v>119416</v>
      </c>
      <c r="F35" s="758">
        <f>SUM(F33:F34)</f>
        <v>125000</v>
      </c>
      <c r="G35" s="758">
        <f>G33+G34</f>
        <v>125000</v>
      </c>
    </row>
    <row r="36" spans="1:7" ht="19.5" thickTop="1" thickBot="1">
      <c r="A36" s="756" t="s">
        <v>181</v>
      </c>
      <c r="B36" s="757"/>
      <c r="C36" s="758">
        <f>C35+C31</f>
        <v>5788289.7199999997</v>
      </c>
      <c r="D36" s="758">
        <f>D35+D31</f>
        <v>2711309.67</v>
      </c>
      <c r="E36" s="758">
        <f>E35+E31</f>
        <v>5030114.0100000007</v>
      </c>
      <c r="F36" s="758">
        <f>F35+F31</f>
        <v>7741423.6799999997</v>
      </c>
      <c r="G36" s="758">
        <f>G31+G35</f>
        <v>8592609.0200000014</v>
      </c>
    </row>
    <row r="37" spans="1:7" ht="18.75" thickTop="1">
      <c r="A37" s="317"/>
      <c r="B37" s="317"/>
      <c r="C37" s="317"/>
      <c r="D37" s="317"/>
      <c r="E37" s="317"/>
      <c r="F37" s="317"/>
      <c r="G37" s="317"/>
    </row>
    <row r="38" spans="1:7" ht="18">
      <c r="A38" s="317"/>
      <c r="B38" s="318"/>
      <c r="C38" s="317"/>
      <c r="D38" s="317"/>
      <c r="E38" s="317"/>
      <c r="F38" s="317"/>
      <c r="G38" s="317"/>
    </row>
    <row r="39" spans="1:7" ht="18">
      <c r="A39" s="317"/>
      <c r="B39" s="317"/>
      <c r="C39" s="317"/>
      <c r="D39" s="317"/>
      <c r="E39" s="317"/>
      <c r="F39" s="317"/>
      <c r="G39" s="317"/>
    </row>
    <row r="40" spans="1:7" ht="18">
      <c r="A40" s="317"/>
      <c r="B40" s="317"/>
      <c r="C40" s="317"/>
      <c r="D40" s="317"/>
      <c r="E40" s="317"/>
      <c r="F40" s="317"/>
      <c r="G40" s="317"/>
    </row>
    <row r="41" spans="1:7" ht="18">
      <c r="A41" s="318"/>
      <c r="B41" s="317"/>
      <c r="C41" s="317"/>
      <c r="D41" s="317"/>
      <c r="E41" s="317"/>
      <c r="F41" s="317"/>
      <c r="G41" s="317"/>
    </row>
    <row r="42" spans="1:7" ht="18">
      <c r="A42" s="317"/>
      <c r="B42" s="317"/>
      <c r="C42" s="317"/>
      <c r="D42" s="317"/>
      <c r="E42" s="317"/>
      <c r="F42" s="317"/>
      <c r="G42" s="317"/>
    </row>
    <row r="43" spans="1:7" ht="18">
      <c r="A43" s="317"/>
      <c r="B43" s="317"/>
      <c r="C43" s="317"/>
      <c r="D43" s="317"/>
      <c r="E43" s="317"/>
      <c r="F43" s="317"/>
      <c r="G43" s="317"/>
    </row>
    <row r="44" spans="1:7" ht="18">
      <c r="A44" s="317"/>
      <c r="B44" s="317"/>
      <c r="C44" s="317"/>
      <c r="D44" s="317"/>
      <c r="E44" s="317"/>
      <c r="F44" s="317"/>
      <c r="G44" s="317"/>
    </row>
    <row r="45" spans="1:7" ht="18">
      <c r="A45" s="759"/>
      <c r="B45" s="1239"/>
      <c r="C45" s="1236"/>
      <c r="D45" s="1236"/>
      <c r="E45" s="369"/>
      <c r="F45" s="1240"/>
      <c r="G45" s="1241"/>
    </row>
    <row r="46" spans="1:7" ht="18">
      <c r="A46" s="760"/>
      <c r="B46" s="1235"/>
      <c r="C46" s="1236"/>
      <c r="D46" s="1236"/>
      <c r="E46" s="372"/>
      <c r="F46" s="1237"/>
      <c r="G46" s="1241"/>
    </row>
    <row r="47" spans="1:7" ht="18">
      <c r="A47" s="317"/>
      <c r="B47" s="317"/>
      <c r="C47" s="317"/>
      <c r="D47" s="317"/>
      <c r="E47" s="317"/>
      <c r="F47" s="317"/>
      <c r="G47" s="317"/>
    </row>
    <row r="48" spans="1:7" ht="18">
      <c r="A48" s="317"/>
      <c r="B48" s="317"/>
      <c r="C48" s="317"/>
      <c r="D48" s="317"/>
      <c r="E48" s="317"/>
      <c r="F48" s="317"/>
      <c r="G48" s="317"/>
    </row>
    <row r="49" spans="1:7" ht="18">
      <c r="A49" s="317"/>
      <c r="B49" s="317"/>
      <c r="C49" s="317"/>
      <c r="D49" s="317"/>
      <c r="E49" s="317"/>
      <c r="F49" s="317"/>
      <c r="G49" s="317"/>
    </row>
    <row r="50" spans="1:7" ht="18">
      <c r="A50" s="317"/>
      <c r="B50" s="317"/>
      <c r="C50" s="317"/>
      <c r="D50" s="317"/>
      <c r="E50" s="317"/>
      <c r="F50" s="317"/>
      <c r="G50" s="317"/>
    </row>
    <row r="51" spans="1:7" ht="18">
      <c r="A51" s="317"/>
      <c r="B51" s="317"/>
      <c r="C51" s="317"/>
      <c r="D51" s="317"/>
      <c r="E51" s="317"/>
      <c r="F51" s="317"/>
      <c r="G51" s="317"/>
    </row>
    <row r="52" spans="1:7" ht="18">
      <c r="A52" s="317"/>
      <c r="B52" s="317"/>
      <c r="C52" s="317"/>
      <c r="D52" s="317"/>
      <c r="E52" s="317"/>
      <c r="F52" s="317"/>
      <c r="G52" s="317"/>
    </row>
    <row r="53" spans="1:7" ht="18">
      <c r="A53" s="317"/>
      <c r="B53" s="317"/>
      <c r="C53" s="317"/>
      <c r="D53" s="317"/>
      <c r="E53" s="317"/>
      <c r="F53" s="317"/>
      <c r="G53" s="317"/>
    </row>
    <row r="54" spans="1:7" ht="18">
      <c r="A54" s="317"/>
      <c r="B54" s="317"/>
      <c r="C54" s="317"/>
      <c r="D54" s="317"/>
      <c r="E54" s="317"/>
      <c r="F54" s="317"/>
      <c r="G54" s="317"/>
    </row>
    <row r="55" spans="1:7" ht="18">
      <c r="A55" s="317"/>
      <c r="B55" s="317"/>
      <c r="C55" s="317"/>
      <c r="D55" s="317"/>
      <c r="E55" s="317"/>
      <c r="F55" s="317"/>
      <c r="G55" s="317"/>
    </row>
    <row r="56" spans="1:7" ht="18">
      <c r="A56" s="317"/>
      <c r="B56" s="317"/>
      <c r="C56" s="317"/>
      <c r="D56" s="317"/>
      <c r="E56" s="317"/>
      <c r="F56" s="317"/>
      <c r="G56" s="317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/>
      <c r="B58" s="317"/>
      <c r="C58" s="317"/>
      <c r="D58" s="317"/>
      <c r="E58" s="317"/>
      <c r="F58" s="317"/>
      <c r="G58" s="317"/>
    </row>
    <row r="59" spans="1:7" ht="18">
      <c r="A59" s="317"/>
      <c r="B59" s="317"/>
      <c r="C59" s="317"/>
      <c r="D59" s="317"/>
      <c r="E59" s="317"/>
      <c r="F59" s="317"/>
      <c r="G59" s="317"/>
    </row>
    <row r="60" spans="1:7" ht="18">
      <c r="A60" s="317"/>
      <c r="B60" s="317"/>
      <c r="C60" s="317"/>
      <c r="D60" s="317"/>
      <c r="E60" s="317"/>
      <c r="F60" s="317"/>
      <c r="G60" s="317"/>
    </row>
    <row r="61" spans="1:7" ht="18">
      <c r="A61" s="317" t="s">
        <v>183</v>
      </c>
      <c r="B61" s="317" t="s">
        <v>184</v>
      </c>
      <c r="C61" s="317"/>
      <c r="D61" s="317"/>
      <c r="E61" s="317"/>
      <c r="F61" s="317" t="s">
        <v>185</v>
      </c>
      <c r="G61" s="317"/>
    </row>
    <row r="62" spans="1:7" ht="18">
      <c r="A62" s="317"/>
      <c r="B62" s="317"/>
      <c r="C62" s="317"/>
      <c r="D62" s="317"/>
      <c r="E62" s="317"/>
      <c r="F62" s="317"/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8">
      <c r="A64" s="318"/>
      <c r="B64" s="317"/>
      <c r="C64" s="317"/>
      <c r="D64" s="317"/>
      <c r="E64" s="317"/>
      <c r="F64" s="317"/>
      <c r="G64" s="317"/>
    </row>
    <row r="65" spans="1:7" ht="18">
      <c r="A65" s="317"/>
      <c r="B65" s="317"/>
      <c r="C65" s="317"/>
      <c r="D65" s="317"/>
      <c r="E65" s="317"/>
      <c r="F65" s="317"/>
      <c r="G65" s="31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759" t="s">
        <v>319</v>
      </c>
      <c r="B68" s="1239" t="s">
        <v>187</v>
      </c>
      <c r="C68" s="1236"/>
      <c r="D68" s="1236"/>
      <c r="E68" s="369"/>
      <c r="F68" s="761" t="s">
        <v>188</v>
      </c>
      <c r="G68" s="375"/>
    </row>
    <row r="69" spans="1:7" ht="18">
      <c r="A69" s="760" t="s">
        <v>698</v>
      </c>
      <c r="B69" s="1235" t="s">
        <v>190</v>
      </c>
      <c r="C69" s="1236"/>
      <c r="D69" s="1236"/>
      <c r="E69" s="372"/>
      <c r="F69" s="1237" t="s">
        <v>191</v>
      </c>
      <c r="G69" s="1241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6.5">
      <c r="A72" s="1238" t="s">
        <v>194</v>
      </c>
      <c r="B72" s="1238"/>
      <c r="C72" s="1238"/>
      <c r="D72" s="1238"/>
      <c r="E72" s="1238"/>
      <c r="F72" s="1238"/>
      <c r="G72" s="1238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>
      <c r="A249" s="377"/>
      <c r="B249" s="377"/>
      <c r="C249" s="377"/>
      <c r="D249" s="377"/>
      <c r="E249" s="377"/>
      <c r="F249" s="377"/>
      <c r="G249" s="377"/>
    </row>
    <row r="250" spans="1:7">
      <c r="A250" s="377"/>
      <c r="B250" s="377"/>
      <c r="C250" s="377"/>
      <c r="D250" s="377"/>
      <c r="E250" s="377"/>
      <c r="F250" s="377"/>
      <c r="G250" s="377"/>
    </row>
    <row r="251" spans="1:7">
      <c r="A251" s="377"/>
      <c r="B251" s="377"/>
      <c r="C251" s="377"/>
      <c r="D251" s="377"/>
      <c r="E251" s="377"/>
      <c r="F251" s="377"/>
      <c r="G251" s="377"/>
    </row>
    <row r="252" spans="1:7">
      <c r="A252" s="377"/>
      <c r="B252" s="377"/>
      <c r="C252" s="377"/>
      <c r="D252" s="377"/>
      <c r="E252" s="377"/>
      <c r="F252" s="377"/>
      <c r="G252" s="37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  <row r="994" spans="1:7">
      <c r="A994" s="377"/>
      <c r="B994" s="377"/>
      <c r="C994" s="377"/>
      <c r="D994" s="377"/>
      <c r="E994" s="377"/>
      <c r="F994" s="377"/>
      <c r="G994" s="377"/>
    </row>
    <row r="995" spans="1:7">
      <c r="A995" s="377"/>
      <c r="B995" s="377"/>
      <c r="C995" s="377"/>
      <c r="D995" s="377"/>
      <c r="E995" s="377"/>
      <c r="F995" s="377"/>
      <c r="G995" s="377"/>
    </row>
    <row r="996" spans="1:7">
      <c r="A996" s="377"/>
      <c r="B996" s="377"/>
      <c r="C996" s="377"/>
      <c r="D996" s="377"/>
      <c r="E996" s="377"/>
      <c r="F996" s="377"/>
      <c r="G996" s="377"/>
    </row>
    <row r="997" spans="1:7">
      <c r="A997" s="377"/>
      <c r="B997" s="377"/>
      <c r="C997" s="377"/>
      <c r="D997" s="377"/>
      <c r="E997" s="377"/>
      <c r="F997" s="377"/>
      <c r="G997" s="377"/>
    </row>
    <row r="998" spans="1:7">
      <c r="A998" s="377"/>
      <c r="B998" s="377"/>
      <c r="C998" s="377"/>
      <c r="D998" s="377"/>
      <c r="E998" s="377"/>
      <c r="F998" s="377"/>
      <c r="G998" s="377"/>
    </row>
    <row r="999" spans="1:7">
      <c r="A999" s="377"/>
      <c r="B999" s="377"/>
      <c r="C999" s="377"/>
      <c r="D999" s="377"/>
      <c r="E999" s="377"/>
      <c r="F999" s="377"/>
      <c r="G999" s="377"/>
    </row>
    <row r="1000" spans="1:7">
      <c r="A1000" s="377"/>
      <c r="B1000" s="377"/>
      <c r="C1000" s="377"/>
      <c r="D1000" s="377"/>
      <c r="E1000" s="377"/>
      <c r="F1000" s="377"/>
      <c r="G1000" s="377"/>
    </row>
    <row r="1001" spans="1:7">
      <c r="A1001" s="377"/>
      <c r="B1001" s="377"/>
      <c r="C1001" s="377"/>
      <c r="D1001" s="377"/>
      <c r="E1001" s="377"/>
      <c r="F1001" s="377"/>
      <c r="G1001" s="377"/>
    </row>
    <row r="1002" spans="1:7">
      <c r="A1002" s="377"/>
      <c r="B1002" s="377"/>
      <c r="C1002" s="377"/>
      <c r="D1002" s="377"/>
      <c r="E1002" s="377"/>
      <c r="F1002" s="377"/>
      <c r="G1002" s="377"/>
    </row>
    <row r="1003" spans="1:7">
      <c r="A1003" s="377"/>
      <c r="B1003" s="377"/>
      <c r="C1003" s="377"/>
      <c r="D1003" s="377"/>
      <c r="E1003" s="377"/>
      <c r="F1003" s="377"/>
      <c r="G1003" s="377"/>
    </row>
    <row r="1004" spans="1:7">
      <c r="A1004" s="377"/>
      <c r="B1004" s="377"/>
      <c r="C1004" s="377"/>
      <c r="D1004" s="377"/>
      <c r="E1004" s="377"/>
      <c r="F1004" s="377"/>
      <c r="G1004" s="377"/>
    </row>
    <row r="1005" spans="1:7">
      <c r="A1005" s="377"/>
      <c r="B1005" s="377"/>
      <c r="C1005" s="377"/>
      <c r="D1005" s="377"/>
      <c r="E1005" s="377"/>
      <c r="F1005" s="377"/>
      <c r="G1005" s="377"/>
    </row>
    <row r="1006" spans="1:7">
      <c r="A1006" s="377"/>
      <c r="B1006" s="377"/>
      <c r="C1006" s="377"/>
      <c r="D1006" s="377"/>
      <c r="E1006" s="377"/>
      <c r="F1006" s="377"/>
      <c r="G1006" s="377"/>
    </row>
    <row r="1007" spans="1:7">
      <c r="A1007" s="377"/>
      <c r="B1007" s="377"/>
      <c r="C1007" s="377"/>
      <c r="D1007" s="377"/>
      <c r="E1007" s="377"/>
      <c r="F1007" s="377"/>
      <c r="G1007" s="377"/>
    </row>
    <row r="1008" spans="1:7">
      <c r="A1008" s="377"/>
      <c r="B1008" s="377"/>
      <c r="C1008" s="377"/>
      <c r="D1008" s="377"/>
      <c r="E1008" s="377"/>
      <c r="F1008" s="377"/>
      <c r="G1008" s="377"/>
    </row>
  </sheetData>
  <sheetProtection algorithmName="SHA-512" hashValue="qAHe7GmTL4pmOb9RN1za/FxZD0efIv7upbE7nWYbpLX/uqVrSopik5xJQC1mRn283HiFfnR8CLb9cUV+Pk+f3A==" saltValue="mUkfJV5VIMhFzdz0STFdTw==" spinCount="100000" sheet="1" objects="1" scenarios="1"/>
  <mergeCells count="16">
    <mergeCell ref="A72:G72"/>
    <mergeCell ref="B45:D45"/>
    <mergeCell ref="F45:G45"/>
    <mergeCell ref="B46:D46"/>
    <mergeCell ref="F46:G46"/>
    <mergeCell ref="B68:D68"/>
    <mergeCell ref="B69:D69"/>
    <mergeCell ref="F69:G69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A4D52-0B6B-4934-AD82-DAFD65C27012}">
  <dimension ref="A1:K987"/>
  <sheetViews>
    <sheetView topLeftCell="A40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9" width="8.85546875" style="314"/>
    <col min="10" max="11" width="11.28515625" style="314" bestFit="1" customWidth="1"/>
    <col min="12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5" t="s">
        <v>572</v>
      </c>
      <c r="B5" s="315"/>
      <c r="C5" s="315"/>
      <c r="D5" s="396"/>
      <c r="E5" s="315"/>
      <c r="F5" s="315"/>
      <c r="G5" s="315"/>
    </row>
    <row r="6" spans="1:7" ht="16.5" thickTop="1" thickBot="1">
      <c r="A6" s="1228" t="s">
        <v>16</v>
      </c>
      <c r="B6" s="1228" t="s">
        <v>17</v>
      </c>
      <c r="C6" s="1230" t="s">
        <v>573</v>
      </c>
      <c r="D6" s="1231" t="s">
        <v>574</v>
      </c>
      <c r="E6" s="1242"/>
      <c r="F6" s="1243"/>
      <c r="G6" s="1228" t="s">
        <v>556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6"/>
      <c r="C10" s="326"/>
      <c r="D10" s="326"/>
      <c r="E10" s="325"/>
      <c r="F10" s="327"/>
      <c r="G10" s="327"/>
    </row>
    <row r="11" spans="1:7" ht="18">
      <c r="A11" s="328" t="s">
        <v>34</v>
      </c>
      <c r="B11" s="748"/>
      <c r="C11" s="330"/>
      <c r="D11" s="330"/>
      <c r="E11" s="540"/>
      <c r="F11" s="332"/>
      <c r="G11" s="332"/>
    </row>
    <row r="12" spans="1:7" ht="18">
      <c r="A12" s="333" t="s">
        <v>35</v>
      </c>
      <c r="B12" s="335"/>
      <c r="C12" s="335"/>
      <c r="D12" s="335"/>
      <c r="E12" s="334"/>
      <c r="F12" s="337"/>
      <c r="G12" s="337"/>
    </row>
    <row r="13" spans="1:7" ht="18">
      <c r="A13" s="338" t="s">
        <v>36</v>
      </c>
      <c r="B13" s="425" t="s">
        <v>37</v>
      </c>
      <c r="C13" s="36">
        <v>1210764</v>
      </c>
      <c r="D13" s="36">
        <v>605382</v>
      </c>
      <c r="E13" s="56">
        <f t="shared" ref="E13:E14" si="0">F13-D13</f>
        <v>1442478</v>
      </c>
      <c r="F13" s="37">
        <v>2047860</v>
      </c>
      <c r="G13" s="37">
        <v>2182255</v>
      </c>
    </row>
    <row r="14" spans="1:7" ht="18">
      <c r="A14" s="338" t="s">
        <v>38</v>
      </c>
      <c r="B14" s="425" t="s">
        <v>39</v>
      </c>
      <c r="C14" s="36">
        <v>156000</v>
      </c>
      <c r="D14" s="36">
        <v>65000</v>
      </c>
      <c r="E14" s="56">
        <f t="shared" si="0"/>
        <v>91000</v>
      </c>
      <c r="F14" s="37">
        <v>156000</v>
      </c>
      <c r="G14" s="37">
        <v>165015</v>
      </c>
    </row>
    <row r="15" spans="1:7" ht="18">
      <c r="A15" s="333" t="s">
        <v>40</v>
      </c>
      <c r="B15" s="435"/>
      <c r="C15" s="36"/>
      <c r="D15" s="36"/>
      <c r="E15" s="56"/>
      <c r="F15" s="37"/>
      <c r="G15" s="37"/>
    </row>
    <row r="16" spans="1:7" ht="18">
      <c r="A16" s="338" t="s">
        <v>41</v>
      </c>
      <c r="B16" s="425" t="s">
        <v>42</v>
      </c>
      <c r="C16" s="36">
        <v>96000</v>
      </c>
      <c r="D16" s="36">
        <v>46000</v>
      </c>
      <c r="E16" s="36">
        <f t="shared" ref="E16:E17" si="1">F16-D16</f>
        <v>122000</v>
      </c>
      <c r="F16" s="37">
        <v>168000</v>
      </c>
      <c r="G16" s="37">
        <v>168000</v>
      </c>
    </row>
    <row r="17" spans="1:7" ht="18">
      <c r="A17" s="338" t="s">
        <v>47</v>
      </c>
      <c r="B17" s="425" t="s">
        <v>48</v>
      </c>
      <c r="C17" s="36">
        <v>30000</v>
      </c>
      <c r="D17" s="38">
        <v>24000</v>
      </c>
      <c r="E17" s="36">
        <f t="shared" si="1"/>
        <v>18000</v>
      </c>
      <c r="F17" s="37">
        <v>42000</v>
      </c>
      <c r="G17" s="37">
        <v>49000</v>
      </c>
    </row>
    <row r="18" spans="1:7" ht="18">
      <c r="A18" s="338" t="s">
        <v>49</v>
      </c>
      <c r="B18" s="339" t="s">
        <v>50</v>
      </c>
      <c r="C18" s="38">
        <v>20000</v>
      </c>
      <c r="D18" s="38">
        <v>0</v>
      </c>
      <c r="E18" s="36">
        <v>35000</v>
      </c>
      <c r="F18" s="37">
        <v>35000</v>
      </c>
      <c r="G18" s="37">
        <v>35000</v>
      </c>
    </row>
    <row r="19" spans="1:7" ht="18">
      <c r="A19" s="338" t="s">
        <v>53</v>
      </c>
      <c r="B19" s="425" t="s">
        <v>54</v>
      </c>
      <c r="C19" s="36">
        <v>122997</v>
      </c>
      <c r="D19" s="38">
        <v>0</v>
      </c>
      <c r="E19" s="36">
        <f t="shared" ref="E19:E21" si="2">F19-D19</f>
        <v>183655</v>
      </c>
      <c r="F19" s="37">
        <v>183655</v>
      </c>
      <c r="G19" s="37">
        <v>200528</v>
      </c>
    </row>
    <row r="20" spans="1:7" ht="18">
      <c r="A20" s="338" t="s">
        <v>55</v>
      </c>
      <c r="B20" s="425" t="s">
        <v>56</v>
      </c>
      <c r="C20" s="36">
        <v>23500</v>
      </c>
      <c r="D20" s="38">
        <v>0</v>
      </c>
      <c r="E20" s="36">
        <f t="shared" si="2"/>
        <v>35000</v>
      </c>
      <c r="F20" s="37">
        <v>35000</v>
      </c>
      <c r="G20" s="37">
        <v>35000</v>
      </c>
    </row>
    <row r="21" spans="1:7" ht="18">
      <c r="A21" s="338" t="s">
        <v>57</v>
      </c>
      <c r="B21" s="425" t="s">
        <v>58</v>
      </c>
      <c r="C21" s="36">
        <v>100897</v>
      </c>
      <c r="D21" s="36">
        <v>113897</v>
      </c>
      <c r="E21" s="36">
        <f t="shared" si="2"/>
        <v>69758</v>
      </c>
      <c r="F21" s="37">
        <v>183655</v>
      </c>
      <c r="G21" s="37">
        <v>192090</v>
      </c>
    </row>
    <row r="22" spans="1:7" ht="18">
      <c r="A22" s="338" t="s">
        <v>557</v>
      </c>
      <c r="B22" s="425" t="s">
        <v>58</v>
      </c>
      <c r="C22" s="38">
        <v>0</v>
      </c>
      <c r="D22" s="38">
        <v>0</v>
      </c>
      <c r="E22" s="38">
        <v>0</v>
      </c>
      <c r="F22" s="83">
        <v>0</v>
      </c>
      <c r="G22" s="37">
        <v>49000</v>
      </c>
    </row>
    <row r="23" spans="1:7" ht="18">
      <c r="A23" s="333" t="s">
        <v>59</v>
      </c>
      <c r="B23" s="435"/>
      <c r="C23" s="36"/>
      <c r="D23" s="36"/>
      <c r="E23" s="36"/>
      <c r="F23" s="37"/>
      <c r="G23" s="37"/>
    </row>
    <row r="24" spans="1:7" ht="18">
      <c r="A24" s="338" t="s">
        <v>60</v>
      </c>
      <c r="B24" s="425" t="s">
        <v>61</v>
      </c>
      <c r="C24" s="36">
        <v>164011.68</v>
      </c>
      <c r="D24" s="36">
        <v>80445.84</v>
      </c>
      <c r="E24" s="36">
        <f t="shared" ref="E24:E27" si="3">F24-D24</f>
        <v>184017.36000000002</v>
      </c>
      <c r="F24" s="37">
        <v>264463.2</v>
      </c>
      <c r="G24" s="37">
        <v>281672.40000000002</v>
      </c>
    </row>
    <row r="25" spans="1:7" ht="18">
      <c r="A25" s="338" t="s">
        <v>62</v>
      </c>
      <c r="B25" s="425" t="s">
        <v>63</v>
      </c>
      <c r="C25" s="36">
        <v>4800</v>
      </c>
      <c r="D25" s="36">
        <v>4200</v>
      </c>
      <c r="E25" s="36">
        <f t="shared" si="3"/>
        <v>4200</v>
      </c>
      <c r="F25" s="84">
        <v>8400</v>
      </c>
      <c r="G25" s="37">
        <v>16800</v>
      </c>
    </row>
    <row r="26" spans="1:7" ht="18">
      <c r="A26" s="338" t="s">
        <v>64</v>
      </c>
      <c r="B26" s="339" t="s">
        <v>65</v>
      </c>
      <c r="C26" s="36">
        <v>27335.279999999999</v>
      </c>
      <c r="D26" s="85">
        <v>17898.580000000002</v>
      </c>
      <c r="E26" s="36">
        <f t="shared" si="3"/>
        <v>31688.299999999996</v>
      </c>
      <c r="F26" s="84">
        <v>49586.879999999997</v>
      </c>
      <c r="G26" s="37">
        <v>56311.38</v>
      </c>
    </row>
    <row r="27" spans="1:7" ht="18">
      <c r="A27" s="338" t="s">
        <v>66</v>
      </c>
      <c r="B27" s="425" t="s">
        <v>67</v>
      </c>
      <c r="C27" s="36">
        <v>4800</v>
      </c>
      <c r="D27" s="36">
        <v>2300</v>
      </c>
      <c r="E27" s="36">
        <f t="shared" si="3"/>
        <v>6100</v>
      </c>
      <c r="F27" s="84">
        <v>8400</v>
      </c>
      <c r="G27" s="37">
        <v>8400</v>
      </c>
    </row>
    <row r="28" spans="1:7" ht="18">
      <c r="A28" s="333" t="s">
        <v>68</v>
      </c>
      <c r="B28" s="425"/>
      <c r="C28" s="36"/>
      <c r="D28" s="36"/>
      <c r="E28" s="36"/>
      <c r="F28" s="84"/>
      <c r="G28" s="37"/>
    </row>
    <row r="29" spans="1:7" ht="18.75" thickBot="1">
      <c r="A29" s="338" t="s">
        <v>558</v>
      </c>
      <c r="B29" s="425" t="s">
        <v>520</v>
      </c>
      <c r="C29" s="38">
        <v>0</v>
      </c>
      <c r="D29" s="38">
        <v>0</v>
      </c>
      <c r="E29" s="38">
        <v>0</v>
      </c>
      <c r="F29" s="83">
        <v>0</v>
      </c>
      <c r="G29" s="49">
        <v>94267.73</v>
      </c>
    </row>
    <row r="30" spans="1:7" ht="19.5" thickTop="1" thickBot="1">
      <c r="A30" s="351" t="s">
        <v>71</v>
      </c>
      <c r="B30" s="352"/>
      <c r="C30" s="86">
        <f t="shared" ref="C30:E30" si="4">SUM(C13:C27)</f>
        <v>1961104.96</v>
      </c>
      <c r="D30" s="86">
        <f t="shared" si="4"/>
        <v>959123.41999999993</v>
      </c>
      <c r="E30" s="86">
        <f t="shared" si="4"/>
        <v>2222896.6599999997</v>
      </c>
      <c r="F30" s="86">
        <f>SUM(F13:F27)</f>
        <v>3182020.08</v>
      </c>
      <c r="G30" s="87">
        <f>SUM(G13:G29)</f>
        <v>3533339.51</v>
      </c>
    </row>
    <row r="31" spans="1:7" ht="18.75" thickTop="1">
      <c r="A31" s="328" t="s">
        <v>72</v>
      </c>
      <c r="B31" s="435"/>
      <c r="C31" s="88"/>
      <c r="D31" s="88"/>
      <c r="E31" s="88"/>
      <c r="F31" s="762"/>
      <c r="G31" s="89"/>
    </row>
    <row r="32" spans="1:7" ht="18">
      <c r="A32" s="364" t="s">
        <v>73</v>
      </c>
      <c r="B32" s="356" t="s">
        <v>74</v>
      </c>
      <c r="C32" s="38">
        <v>52000</v>
      </c>
      <c r="D32" s="91">
        <v>10000</v>
      </c>
      <c r="E32" s="36">
        <f t="shared" ref="E32:E38" si="5">F32-D32</f>
        <v>90000</v>
      </c>
      <c r="F32" s="37">
        <v>100000</v>
      </c>
      <c r="G32" s="37">
        <v>50000</v>
      </c>
    </row>
    <row r="33" spans="1:11" ht="18">
      <c r="A33" s="359" t="s">
        <v>77</v>
      </c>
      <c r="B33" s="360" t="s">
        <v>78</v>
      </c>
      <c r="C33" s="38">
        <v>89154.45</v>
      </c>
      <c r="D33" s="38">
        <v>28751.5</v>
      </c>
      <c r="E33" s="36">
        <f t="shared" si="5"/>
        <v>86248.5</v>
      </c>
      <c r="F33" s="92">
        <v>115000</v>
      </c>
      <c r="G33" s="92">
        <v>50000</v>
      </c>
    </row>
    <row r="34" spans="1:11" ht="18">
      <c r="A34" s="338" t="s">
        <v>81</v>
      </c>
      <c r="B34" s="339" t="s">
        <v>82</v>
      </c>
      <c r="C34" s="36">
        <v>45576.58</v>
      </c>
      <c r="D34" s="93">
        <v>28029</v>
      </c>
      <c r="E34" s="36">
        <f t="shared" si="5"/>
        <v>51971</v>
      </c>
      <c r="F34" s="37">
        <v>80000</v>
      </c>
      <c r="G34" s="37">
        <v>50000</v>
      </c>
    </row>
    <row r="35" spans="1:11" ht="18">
      <c r="A35" s="359" t="s">
        <v>83</v>
      </c>
      <c r="B35" s="360" t="s">
        <v>84</v>
      </c>
      <c r="C35" s="38">
        <v>60000</v>
      </c>
      <c r="D35" s="36">
        <v>30000</v>
      </c>
      <c r="E35" s="36">
        <f t="shared" si="5"/>
        <v>30000</v>
      </c>
      <c r="F35" s="37">
        <v>60000</v>
      </c>
      <c r="G35" s="37">
        <v>60000</v>
      </c>
    </row>
    <row r="36" spans="1:11" ht="18">
      <c r="A36" s="338" t="s">
        <v>199</v>
      </c>
      <c r="B36" s="398" t="s">
        <v>200</v>
      </c>
      <c r="C36" s="55">
        <v>221725.25</v>
      </c>
      <c r="D36" s="36">
        <v>145790</v>
      </c>
      <c r="E36" s="36">
        <f t="shared" si="5"/>
        <v>184210</v>
      </c>
      <c r="F36" s="37">
        <v>330000</v>
      </c>
      <c r="G36" s="37">
        <v>350000</v>
      </c>
    </row>
    <row r="37" spans="1:11" ht="18">
      <c r="A37" s="763" t="s">
        <v>571</v>
      </c>
      <c r="B37" s="435" t="s">
        <v>101</v>
      </c>
      <c r="C37" s="55">
        <v>21033.599999999999</v>
      </c>
      <c r="D37" s="38">
        <v>40000</v>
      </c>
      <c r="E37" s="36">
        <f t="shared" si="5"/>
        <v>65000</v>
      </c>
      <c r="F37" s="37">
        <v>105000</v>
      </c>
      <c r="G37" s="37">
        <v>50000</v>
      </c>
    </row>
    <row r="38" spans="1:11" ht="36">
      <c r="A38" s="538" t="s">
        <v>104</v>
      </c>
      <c r="B38" s="360" t="s">
        <v>105</v>
      </c>
      <c r="C38" s="38">
        <v>0</v>
      </c>
      <c r="D38" s="38">
        <v>0</v>
      </c>
      <c r="E38" s="36">
        <f t="shared" si="5"/>
        <v>20000</v>
      </c>
      <c r="F38" s="37">
        <v>20000</v>
      </c>
      <c r="G38" s="37">
        <v>20000</v>
      </c>
    </row>
    <row r="39" spans="1:11" ht="18">
      <c r="A39" s="338" t="s">
        <v>108</v>
      </c>
      <c r="B39" s="356" t="s">
        <v>109</v>
      </c>
      <c r="C39" s="36"/>
      <c r="D39" s="56"/>
      <c r="E39" s="36"/>
      <c r="F39" s="37"/>
      <c r="G39" s="37"/>
    </row>
    <row r="40" spans="1:11" ht="18">
      <c r="A40" s="434" t="s">
        <v>320</v>
      </c>
      <c r="B40" s="356"/>
      <c r="C40" s="36">
        <v>252257</v>
      </c>
      <c r="D40" s="96">
        <v>126954</v>
      </c>
      <c r="E40" s="36">
        <f t="shared" ref="E40:E43" si="6">F40-D40</f>
        <v>173046</v>
      </c>
      <c r="F40" s="37">
        <v>300000</v>
      </c>
      <c r="G40" s="37">
        <v>120000</v>
      </c>
    </row>
    <row r="41" spans="1:11" ht="18">
      <c r="A41" s="434" t="s">
        <v>321</v>
      </c>
      <c r="B41" s="435"/>
      <c r="C41" s="38">
        <v>48464</v>
      </c>
      <c r="D41" s="55">
        <v>0</v>
      </c>
      <c r="E41" s="36">
        <f t="shared" si="6"/>
        <v>100000</v>
      </c>
      <c r="F41" s="37">
        <v>100000</v>
      </c>
      <c r="G41" s="37">
        <v>50000</v>
      </c>
    </row>
    <row r="42" spans="1:11" ht="18">
      <c r="A42" s="434" t="s">
        <v>322</v>
      </c>
      <c r="B42" s="435"/>
      <c r="C42" s="36">
        <v>45000</v>
      </c>
      <c r="D42" s="55">
        <v>0</v>
      </c>
      <c r="E42" s="36">
        <f t="shared" si="6"/>
        <v>50000</v>
      </c>
      <c r="F42" s="37">
        <v>50000</v>
      </c>
      <c r="G42" s="37">
        <v>50000</v>
      </c>
    </row>
    <row r="43" spans="1:11" ht="36.75" thickBot="1">
      <c r="A43" s="764" t="s">
        <v>323</v>
      </c>
      <c r="B43" s="765"/>
      <c r="C43" s="97">
        <v>23700</v>
      </c>
      <c r="D43" s="98">
        <v>0</v>
      </c>
      <c r="E43" s="72">
        <f t="shared" si="6"/>
        <v>70000</v>
      </c>
      <c r="F43" s="99">
        <v>70000</v>
      </c>
      <c r="G43" s="99">
        <v>50000</v>
      </c>
    </row>
    <row r="44" spans="1:11" ht="19.5" thickTop="1" thickBot="1">
      <c r="A44" s="351" t="s">
        <v>324</v>
      </c>
      <c r="B44" s="367"/>
      <c r="C44" s="75">
        <f>SUM(C32:C43)</f>
        <v>858910.88</v>
      </c>
      <c r="D44" s="75">
        <f>SUM(D32:D43)</f>
        <v>409524.5</v>
      </c>
      <c r="E44" s="75">
        <f>SUM(E32:E43)</f>
        <v>920475.5</v>
      </c>
      <c r="F44" s="75">
        <f>SUM(F32:F43)</f>
        <v>1330000</v>
      </c>
      <c r="G44" s="100">
        <f>SUM(G32:G43)</f>
        <v>900000</v>
      </c>
      <c r="J44" s="558"/>
      <c r="K44" s="558"/>
    </row>
    <row r="45" spans="1:11" ht="18.75" thickTop="1">
      <c r="A45" s="766"/>
      <c r="B45" s="767"/>
      <c r="C45" s="101"/>
      <c r="D45" s="101"/>
      <c r="E45" s="101"/>
      <c r="F45" s="102"/>
      <c r="G45" s="103"/>
    </row>
    <row r="46" spans="1:11" ht="18">
      <c r="A46" s="328" t="s">
        <v>325</v>
      </c>
      <c r="B46" s="409"/>
      <c r="C46" s="104"/>
      <c r="D46" s="104"/>
      <c r="E46" s="104"/>
      <c r="F46" s="105"/>
      <c r="G46" s="92"/>
    </row>
    <row r="47" spans="1:11" ht="36.75" thickBot="1">
      <c r="A47" s="768" t="s">
        <v>326</v>
      </c>
      <c r="B47" s="739"/>
      <c r="C47" s="109">
        <v>2000000</v>
      </c>
      <c r="D47" s="110">
        <v>0</v>
      </c>
      <c r="E47" s="72">
        <f t="shared" ref="E47" si="7">F47-D47</f>
        <v>2000000</v>
      </c>
      <c r="F47" s="111">
        <v>2000000</v>
      </c>
      <c r="G47" s="108">
        <v>2000000</v>
      </c>
      <c r="K47" s="558"/>
    </row>
    <row r="48" spans="1:11" ht="19.5" thickTop="1" thickBot="1">
      <c r="A48" s="351" t="s">
        <v>180</v>
      </c>
      <c r="B48" s="367"/>
      <c r="C48" s="75">
        <f>C47</f>
        <v>2000000</v>
      </c>
      <c r="D48" s="112">
        <f t="shared" ref="D48:F48" si="8">D47</f>
        <v>0</v>
      </c>
      <c r="E48" s="75">
        <f t="shared" si="8"/>
        <v>2000000</v>
      </c>
      <c r="F48" s="75">
        <f t="shared" si="8"/>
        <v>2000000</v>
      </c>
      <c r="G48" s="75">
        <f>SUM(G47:G47)</f>
        <v>2000000</v>
      </c>
    </row>
    <row r="49" spans="1:7" ht="19.5" thickTop="1" thickBot="1">
      <c r="A49" s="351" t="s">
        <v>181</v>
      </c>
      <c r="B49" s="367"/>
      <c r="C49" s="75">
        <f>C44+C30+C48</f>
        <v>4820015.84</v>
      </c>
      <c r="D49" s="75">
        <f>D44+D30+D48</f>
        <v>1368647.92</v>
      </c>
      <c r="E49" s="75">
        <f>E44+E30+E48</f>
        <v>5143372.16</v>
      </c>
      <c r="F49" s="75">
        <f>F44+F30+F48</f>
        <v>6512020.0800000001</v>
      </c>
      <c r="G49" s="75">
        <f>G44+G30+G48</f>
        <v>6433339.5099999998</v>
      </c>
    </row>
    <row r="50" spans="1:7" ht="18.75" thickTop="1">
      <c r="A50" s="317"/>
      <c r="B50" s="317"/>
      <c r="C50" s="317"/>
      <c r="D50" s="317"/>
      <c r="E50" s="317"/>
      <c r="F50" s="317"/>
      <c r="G50" s="317"/>
    </row>
    <row r="51" spans="1:7" ht="18">
      <c r="A51" s="317"/>
      <c r="B51" s="318"/>
      <c r="C51" s="317"/>
      <c r="D51" s="317"/>
      <c r="E51" s="317"/>
      <c r="F51" s="317"/>
      <c r="G51" s="317"/>
    </row>
    <row r="52" spans="1:7" ht="18">
      <c r="A52" s="317"/>
      <c r="B52" s="317"/>
      <c r="C52" s="317"/>
      <c r="D52" s="317"/>
      <c r="E52" s="317"/>
      <c r="F52" s="317"/>
      <c r="G52" s="317"/>
    </row>
    <row r="53" spans="1:7" ht="18">
      <c r="A53" s="317"/>
      <c r="B53" s="317"/>
      <c r="C53" s="317"/>
      <c r="D53" s="317"/>
      <c r="E53" s="317"/>
      <c r="F53" s="317"/>
      <c r="G53" s="317"/>
    </row>
    <row r="54" spans="1:7" ht="18">
      <c r="A54" s="309"/>
      <c r="B54" s="1239"/>
      <c r="C54" s="1236"/>
      <c r="D54" s="1236"/>
      <c r="E54" s="369"/>
      <c r="F54" s="1240"/>
      <c r="G54" s="1241"/>
    </row>
    <row r="55" spans="1:7" ht="18">
      <c r="A55" s="317"/>
      <c r="B55" s="317"/>
      <c r="C55" s="317"/>
      <c r="D55" s="317"/>
      <c r="E55" s="317"/>
      <c r="F55" s="317"/>
      <c r="G55" s="317"/>
    </row>
    <row r="56" spans="1:7" ht="18">
      <c r="A56" s="317"/>
      <c r="B56" s="317"/>
      <c r="C56" s="317"/>
      <c r="D56" s="317"/>
      <c r="E56" s="317"/>
      <c r="F56" s="317"/>
      <c r="G56" s="317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 t="s">
        <v>183</v>
      </c>
      <c r="B58" s="317" t="s">
        <v>184</v>
      </c>
      <c r="C58" s="317"/>
      <c r="D58" s="317"/>
      <c r="E58" s="317"/>
      <c r="F58" s="317" t="s">
        <v>185</v>
      </c>
      <c r="G58" s="317"/>
    </row>
    <row r="59" spans="1:7" ht="18">
      <c r="A59" s="317"/>
      <c r="B59" s="317"/>
      <c r="C59" s="317"/>
      <c r="D59" s="317"/>
      <c r="E59" s="317"/>
      <c r="F59" s="317"/>
      <c r="G59" s="317"/>
    </row>
    <row r="60" spans="1:7" ht="18">
      <c r="A60" s="317"/>
      <c r="B60" s="317"/>
      <c r="C60" s="317"/>
      <c r="D60" s="317"/>
      <c r="E60" s="317"/>
      <c r="F60" s="317"/>
      <c r="G60" s="317"/>
    </row>
    <row r="61" spans="1:7" ht="18">
      <c r="A61" s="317"/>
      <c r="B61" s="317"/>
      <c r="C61" s="317"/>
      <c r="D61" s="317"/>
      <c r="E61" s="317"/>
      <c r="F61" s="317"/>
      <c r="G61" s="317"/>
    </row>
    <row r="62" spans="1:7" ht="18">
      <c r="A62" s="317"/>
      <c r="B62" s="317"/>
      <c r="C62" s="317"/>
      <c r="D62" s="317"/>
      <c r="E62" s="317"/>
      <c r="F62" s="317"/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8">
      <c r="A64" s="317"/>
      <c r="B64" s="317"/>
      <c r="C64" s="317"/>
      <c r="D64" s="317"/>
      <c r="E64" s="317"/>
      <c r="F64" s="317"/>
      <c r="G64" s="317"/>
    </row>
    <row r="65" spans="1:7" ht="18">
      <c r="A65" s="309" t="s">
        <v>327</v>
      </c>
      <c r="B65" s="1239" t="s">
        <v>187</v>
      </c>
      <c r="C65" s="1236"/>
      <c r="D65" s="1236"/>
      <c r="E65" s="369"/>
      <c r="F65" s="1240" t="s">
        <v>188</v>
      </c>
      <c r="G65" s="1241"/>
    </row>
    <row r="66" spans="1:7" ht="18">
      <c r="A66" s="373" t="s">
        <v>328</v>
      </c>
      <c r="B66" s="1235" t="s">
        <v>190</v>
      </c>
      <c r="C66" s="1236"/>
      <c r="D66" s="1236"/>
      <c r="E66" s="372"/>
      <c r="F66" s="1237" t="s">
        <v>191</v>
      </c>
      <c r="G66" s="1241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17"/>
      <c r="B68" s="317"/>
      <c r="C68" s="317"/>
      <c r="D68" s="317"/>
      <c r="E68" s="317"/>
      <c r="F68" s="317"/>
      <c r="G68" s="317"/>
    </row>
    <row r="69" spans="1:7" ht="16.5">
      <c r="A69" s="1238" t="s">
        <v>194</v>
      </c>
      <c r="B69" s="1238"/>
      <c r="C69" s="1238"/>
      <c r="D69" s="1238"/>
      <c r="E69" s="1238"/>
      <c r="F69" s="1238"/>
      <c r="G69" s="1238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8">
      <c r="A72" s="317"/>
      <c r="B72" s="317"/>
      <c r="C72" s="317"/>
      <c r="D72" s="317"/>
      <c r="E72" s="317"/>
      <c r="F72" s="317"/>
      <c r="G72" s="317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>
      <c r="A249" s="377"/>
      <c r="B249" s="377"/>
      <c r="C249" s="377"/>
      <c r="D249" s="377"/>
      <c r="E249" s="377"/>
      <c r="F249" s="377"/>
      <c r="G249" s="377"/>
    </row>
    <row r="250" spans="1:7">
      <c r="A250" s="377"/>
      <c r="B250" s="377"/>
      <c r="C250" s="377"/>
      <c r="D250" s="377"/>
      <c r="E250" s="377"/>
      <c r="F250" s="377"/>
      <c r="G250" s="377"/>
    </row>
    <row r="251" spans="1:7">
      <c r="A251" s="377"/>
      <c r="B251" s="377"/>
      <c r="C251" s="377"/>
      <c r="D251" s="377"/>
      <c r="E251" s="377"/>
      <c r="F251" s="377"/>
      <c r="G251" s="377"/>
    </row>
    <row r="252" spans="1:7">
      <c r="A252" s="377"/>
      <c r="B252" s="377"/>
      <c r="C252" s="377"/>
      <c r="D252" s="377"/>
      <c r="E252" s="377"/>
      <c r="F252" s="377"/>
      <c r="G252" s="37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</sheetData>
  <sheetProtection algorithmName="SHA-512" hashValue="MdU9yGsWj5UbtDAMWP9T+8R9YE9tB/mA7lwS0nXZFmG2FhEg1FdvilCYuQyk4tiU5OCtPxB4teEXsR/I2FETRQ==" saltValue="bJnhh8EiIF8KsMCO78wTrA==" spinCount="100000" sheet="1" objects="1" scenarios="1"/>
  <mergeCells count="15">
    <mergeCell ref="A69:G69"/>
    <mergeCell ref="B54:D54"/>
    <mergeCell ref="F54:G54"/>
    <mergeCell ref="B65:D65"/>
    <mergeCell ref="F65:G65"/>
    <mergeCell ref="B66:D66"/>
    <mergeCell ref="F66:G66"/>
    <mergeCell ref="A2:G2"/>
    <mergeCell ref="A3:G3"/>
    <mergeCell ref="A6:A8"/>
    <mergeCell ref="B6:B8"/>
    <mergeCell ref="C6:C8"/>
    <mergeCell ref="D6:F6"/>
    <mergeCell ref="G6:G8"/>
    <mergeCell ref="F7:F8"/>
  </mergeCells>
  <conditionalFormatting sqref="C35">
    <cfRule type="cellIs" dxfId="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DDEAB-05FA-4D1F-9572-55782116CFE8}">
  <dimension ref="A1:Z1036"/>
  <sheetViews>
    <sheetView tabSelected="1" topLeftCell="A10" zoomScale="85" zoomScaleNormal="85" workbookViewId="0">
      <selection activeCell="H24" sqref="H24"/>
    </sheetView>
  </sheetViews>
  <sheetFormatPr defaultRowHeight="15"/>
  <cols>
    <col min="1" max="1" width="53.5703125" style="22" customWidth="1"/>
    <col min="2" max="2" width="14" style="22" customWidth="1"/>
    <col min="3" max="6" width="16.5703125" style="22" customWidth="1"/>
    <col min="7" max="7" width="17" style="22" customWidth="1"/>
    <col min="8" max="8" width="15.28515625" style="310" customWidth="1"/>
    <col min="9" max="9" width="16.140625" style="310" hidden="1" customWidth="1"/>
    <col min="10" max="11" width="15.28515625" style="310" bestFit="1" customWidth="1"/>
    <col min="12" max="19" width="9.140625" style="310"/>
    <col min="20" max="16384" width="9.140625" style="22"/>
  </cols>
  <sheetData>
    <row r="1" spans="1:26" ht="18">
      <c r="A1" s="19" t="s">
        <v>13</v>
      </c>
      <c r="B1" s="20"/>
      <c r="C1" s="21"/>
      <c r="D1" s="21"/>
      <c r="E1" s="21"/>
      <c r="F1" s="20"/>
      <c r="G1" s="20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0"/>
      <c r="U1" s="20"/>
      <c r="V1" s="20"/>
      <c r="W1" s="20"/>
      <c r="X1" s="20"/>
      <c r="Y1" s="20"/>
      <c r="Z1" s="20"/>
    </row>
    <row r="2" spans="1:26" ht="21">
      <c r="A2" s="1210" t="s">
        <v>0</v>
      </c>
      <c r="B2" s="1211"/>
      <c r="C2" s="1211"/>
      <c r="D2" s="1211"/>
      <c r="E2" s="1211"/>
      <c r="F2" s="1211"/>
      <c r="G2" s="1211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5"/>
      <c r="U2" s="255"/>
      <c r="V2" s="255"/>
      <c r="W2" s="255"/>
      <c r="X2" s="255"/>
      <c r="Y2" s="255"/>
      <c r="Z2" s="255"/>
    </row>
    <row r="3" spans="1:26" ht="18">
      <c r="A3" s="1212" t="s">
        <v>14</v>
      </c>
      <c r="B3" s="1211"/>
      <c r="C3" s="1211"/>
      <c r="D3" s="1211"/>
      <c r="E3" s="1211"/>
      <c r="F3" s="1211"/>
      <c r="G3" s="1211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5"/>
      <c r="U3" s="255"/>
      <c r="V3" s="255"/>
      <c r="W3" s="255"/>
      <c r="X3" s="255"/>
      <c r="Y3" s="255"/>
      <c r="Z3" s="255"/>
    </row>
    <row r="4" spans="1:26" ht="18">
      <c r="A4" s="20"/>
      <c r="B4" s="20"/>
      <c r="C4" s="21"/>
      <c r="D4" s="21"/>
      <c r="E4" s="21"/>
      <c r="F4" s="20"/>
      <c r="G4" s="20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0"/>
      <c r="U4" s="20"/>
      <c r="V4" s="20"/>
      <c r="W4" s="20"/>
      <c r="X4" s="20"/>
      <c r="Y4" s="20"/>
      <c r="Z4" s="20"/>
    </row>
    <row r="5" spans="1:26" ht="18.75" thickBot="1">
      <c r="A5" s="20" t="s">
        <v>15</v>
      </c>
      <c r="B5" s="20"/>
      <c r="C5" s="21"/>
      <c r="D5" s="21"/>
      <c r="E5" s="21"/>
      <c r="F5" s="20"/>
      <c r="G5" s="20"/>
      <c r="H5" s="25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0"/>
      <c r="U5" s="20"/>
      <c r="V5" s="20"/>
      <c r="W5" s="20"/>
      <c r="X5" s="20"/>
      <c r="Y5" s="20"/>
      <c r="Z5" s="20"/>
    </row>
    <row r="6" spans="1:26" ht="16.5" customHeight="1" thickTop="1" thickBot="1">
      <c r="A6" s="1213" t="s">
        <v>16</v>
      </c>
      <c r="B6" s="1213" t="s">
        <v>17</v>
      </c>
      <c r="C6" s="1215" t="s">
        <v>561</v>
      </c>
      <c r="D6" s="1216" t="s">
        <v>634</v>
      </c>
      <c r="E6" s="1217"/>
      <c r="F6" s="1218"/>
      <c r="G6" s="1219" t="s">
        <v>556</v>
      </c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60"/>
      <c r="U6" s="60"/>
      <c r="V6" s="60"/>
      <c r="W6" s="60"/>
      <c r="X6" s="60"/>
      <c r="Y6" s="60"/>
      <c r="Z6" s="60"/>
    </row>
    <row r="7" spans="1:26" ht="35.25" thickTop="1">
      <c r="A7" s="1214"/>
      <c r="B7" s="1214"/>
      <c r="C7" s="1214"/>
      <c r="D7" s="23" t="s">
        <v>21</v>
      </c>
      <c r="E7" s="23" t="s">
        <v>22</v>
      </c>
      <c r="F7" s="1213" t="s">
        <v>23</v>
      </c>
      <c r="G7" s="1214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60"/>
      <c r="U7" s="60"/>
      <c r="V7" s="60"/>
      <c r="W7" s="60"/>
      <c r="X7" s="60"/>
      <c r="Y7" s="60"/>
      <c r="Z7" s="60"/>
    </row>
    <row r="8" spans="1:26" ht="18">
      <c r="A8" s="1214"/>
      <c r="B8" s="1214"/>
      <c r="C8" s="1214"/>
      <c r="D8" s="24" t="s">
        <v>24</v>
      </c>
      <c r="E8" s="24" t="s">
        <v>25</v>
      </c>
      <c r="F8" s="1214"/>
      <c r="G8" s="1214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60"/>
      <c r="U8" s="60"/>
      <c r="V8" s="60"/>
      <c r="W8" s="60"/>
      <c r="X8" s="60"/>
      <c r="Y8" s="60"/>
      <c r="Z8" s="60"/>
    </row>
    <row r="9" spans="1:26" ht="18.75" thickBot="1">
      <c r="A9" s="25" t="s">
        <v>26</v>
      </c>
      <c r="B9" s="25" t="s">
        <v>27</v>
      </c>
      <c r="C9" s="26" t="s">
        <v>28</v>
      </c>
      <c r="D9" s="26" t="s">
        <v>29</v>
      </c>
      <c r="E9" s="26" t="s">
        <v>30</v>
      </c>
      <c r="F9" s="25" t="s">
        <v>31</v>
      </c>
      <c r="G9" s="25" t="s">
        <v>32</v>
      </c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60"/>
      <c r="U9" s="60"/>
      <c r="V9" s="60"/>
      <c r="W9" s="60"/>
      <c r="X9" s="60"/>
      <c r="Y9" s="60"/>
      <c r="Z9" s="60"/>
    </row>
    <row r="10" spans="1:26" ht="18.75" thickTop="1">
      <c r="A10" s="27" t="s">
        <v>33</v>
      </c>
      <c r="B10" s="113"/>
      <c r="C10" s="196"/>
      <c r="D10" s="196"/>
      <c r="E10" s="196"/>
      <c r="F10" s="113"/>
      <c r="G10" s="28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  <c r="S10" s="253"/>
      <c r="T10" s="20"/>
      <c r="U10" s="20"/>
      <c r="V10" s="20"/>
      <c r="W10" s="20"/>
      <c r="X10" s="20"/>
      <c r="Y10" s="20"/>
      <c r="Z10" s="20"/>
    </row>
    <row r="11" spans="1:26" ht="18">
      <c r="A11" s="29" t="s">
        <v>34</v>
      </c>
      <c r="B11" s="114"/>
      <c r="C11" s="150"/>
      <c r="D11" s="150"/>
      <c r="E11" s="150"/>
      <c r="F11" s="257"/>
      <c r="G11" s="31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0"/>
      <c r="U11" s="20"/>
      <c r="V11" s="20"/>
      <c r="W11" s="20"/>
      <c r="X11" s="20"/>
      <c r="Y11" s="20"/>
      <c r="Z11" s="20"/>
    </row>
    <row r="12" spans="1:26" ht="18">
      <c r="A12" s="32" t="s">
        <v>35</v>
      </c>
      <c r="B12" s="116"/>
      <c r="C12" s="150"/>
      <c r="D12" s="150"/>
      <c r="E12" s="150"/>
      <c r="F12" s="33"/>
      <c r="G12" s="34"/>
      <c r="H12" s="253"/>
      <c r="I12" s="253"/>
      <c r="J12" s="253"/>
      <c r="K12" s="253"/>
      <c r="L12" s="253"/>
      <c r="M12" s="253"/>
      <c r="N12" s="253"/>
      <c r="O12" s="253"/>
      <c r="P12" s="253"/>
      <c r="Q12" s="253"/>
      <c r="R12" s="253"/>
      <c r="S12" s="253"/>
      <c r="T12" s="20"/>
      <c r="U12" s="20"/>
      <c r="V12" s="20"/>
      <c r="W12" s="20"/>
      <c r="X12" s="20"/>
      <c r="Y12" s="20"/>
      <c r="Z12" s="20"/>
    </row>
    <row r="13" spans="1:26" ht="18">
      <c r="A13" s="35" t="s">
        <v>36</v>
      </c>
      <c r="B13" s="39" t="s">
        <v>37</v>
      </c>
      <c r="C13" s="36">
        <v>11280787.85</v>
      </c>
      <c r="D13" s="36">
        <v>5615916</v>
      </c>
      <c r="E13" s="36">
        <f t="shared" ref="E13:E14" si="0">F13-D13</f>
        <v>7324764</v>
      </c>
      <c r="F13" s="37">
        <v>12940680</v>
      </c>
      <c r="G13" s="37">
        <v>13764732</v>
      </c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0"/>
      <c r="U13" s="20"/>
      <c r="V13" s="20"/>
      <c r="W13" s="20"/>
      <c r="X13" s="20"/>
      <c r="Y13" s="20"/>
      <c r="Z13" s="20"/>
    </row>
    <row r="14" spans="1:26" ht="18">
      <c r="A14" s="35" t="s">
        <v>38</v>
      </c>
      <c r="B14" s="39" t="s">
        <v>39</v>
      </c>
      <c r="C14" s="36">
        <v>5028000</v>
      </c>
      <c r="D14" s="36">
        <v>5226000</v>
      </c>
      <c r="E14" s="36">
        <f t="shared" si="0"/>
        <v>5226000</v>
      </c>
      <c r="F14" s="37">
        <f>5460000+4368000+624000</f>
        <v>10452000</v>
      </c>
      <c r="G14" s="37">
        <v>11056005</v>
      </c>
      <c r="H14" s="253"/>
      <c r="I14" s="253"/>
      <c r="J14" s="253"/>
      <c r="K14" s="253"/>
      <c r="L14" s="253"/>
      <c r="M14" s="253"/>
      <c r="N14" s="253"/>
      <c r="O14" s="253"/>
      <c r="P14" s="253"/>
      <c r="Q14" s="253"/>
      <c r="R14" s="253"/>
      <c r="S14" s="253"/>
      <c r="T14" s="20"/>
      <c r="U14" s="20"/>
      <c r="V14" s="20"/>
      <c r="W14" s="20"/>
      <c r="X14" s="20"/>
      <c r="Y14" s="20"/>
      <c r="Z14" s="20"/>
    </row>
    <row r="15" spans="1:26" ht="18">
      <c r="A15" s="29" t="s">
        <v>40</v>
      </c>
      <c r="B15" s="39"/>
      <c r="C15" s="36"/>
      <c r="D15" s="36"/>
      <c r="E15" s="36"/>
      <c r="F15" s="37"/>
      <c r="G15" s="37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0"/>
      <c r="U15" s="20"/>
      <c r="V15" s="20"/>
      <c r="W15" s="20"/>
      <c r="X15" s="20"/>
      <c r="Y15" s="20"/>
      <c r="Z15" s="20"/>
    </row>
    <row r="16" spans="1:26" ht="18">
      <c r="A16" s="35" t="s">
        <v>41</v>
      </c>
      <c r="B16" s="39" t="s">
        <v>42</v>
      </c>
      <c r="C16" s="36">
        <v>937909.11</v>
      </c>
      <c r="D16" s="36">
        <v>1116000</v>
      </c>
      <c r="E16" s="36">
        <f t="shared" ref="E16:E19" si="1">F16-D16</f>
        <v>1260000</v>
      </c>
      <c r="F16" s="37">
        <f>1608000+672000+96000</f>
        <v>2376000</v>
      </c>
      <c r="G16" s="37">
        <f>1608000+672000+96000</f>
        <v>2376000</v>
      </c>
      <c r="H16" s="253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0"/>
      <c r="U16" s="20"/>
      <c r="V16" s="20"/>
      <c r="W16" s="20"/>
      <c r="X16" s="20"/>
      <c r="Y16" s="20"/>
      <c r="Z16" s="20"/>
    </row>
    <row r="17" spans="1:26" ht="18">
      <c r="A17" s="35" t="s">
        <v>43</v>
      </c>
      <c r="B17" s="39" t="s">
        <v>44</v>
      </c>
      <c r="C17" s="36">
        <v>132000</v>
      </c>
      <c r="D17" s="36">
        <v>66000</v>
      </c>
      <c r="E17" s="36">
        <f t="shared" si="1"/>
        <v>66000</v>
      </c>
      <c r="F17" s="37">
        <v>132000</v>
      </c>
      <c r="G17" s="37">
        <v>150000</v>
      </c>
      <c r="H17" s="253"/>
      <c r="I17" s="253"/>
      <c r="J17" s="253"/>
      <c r="K17" s="253"/>
      <c r="L17" s="253"/>
      <c r="M17" s="253"/>
      <c r="N17" s="253"/>
      <c r="O17" s="253"/>
      <c r="P17" s="253"/>
      <c r="Q17" s="253"/>
      <c r="R17" s="253"/>
      <c r="S17" s="253"/>
      <c r="T17" s="20"/>
      <c r="U17" s="20"/>
      <c r="V17" s="20"/>
      <c r="W17" s="20"/>
      <c r="X17" s="20"/>
      <c r="Y17" s="20"/>
      <c r="Z17" s="20"/>
    </row>
    <row r="18" spans="1:26" ht="18">
      <c r="A18" s="35" t="s">
        <v>45</v>
      </c>
      <c r="B18" s="39" t="s">
        <v>46</v>
      </c>
      <c r="C18" s="36">
        <v>132000</v>
      </c>
      <c r="D18" s="36">
        <v>66000</v>
      </c>
      <c r="E18" s="36">
        <f t="shared" si="1"/>
        <v>66000</v>
      </c>
      <c r="F18" s="37">
        <v>132000</v>
      </c>
      <c r="G18" s="37">
        <v>150000</v>
      </c>
      <c r="H18" s="253"/>
      <c r="I18" s="253"/>
      <c r="J18" s="253"/>
      <c r="K18" s="253"/>
      <c r="L18" s="253"/>
      <c r="M18" s="253"/>
      <c r="N18" s="253"/>
      <c r="O18" s="253"/>
      <c r="P18" s="253"/>
      <c r="Q18" s="253"/>
      <c r="R18" s="253"/>
      <c r="S18" s="253"/>
      <c r="T18" s="20"/>
      <c r="U18" s="20"/>
      <c r="V18" s="20"/>
      <c r="W18" s="20"/>
      <c r="X18" s="20"/>
      <c r="Y18" s="20"/>
      <c r="Z18" s="20"/>
    </row>
    <row r="19" spans="1:26" ht="18">
      <c r="A19" s="35" t="s">
        <v>47</v>
      </c>
      <c r="B19" s="39" t="s">
        <v>48</v>
      </c>
      <c r="C19" s="36">
        <v>228000</v>
      </c>
      <c r="D19" s="38">
        <v>516000</v>
      </c>
      <c r="E19" s="36">
        <f t="shared" si="1"/>
        <v>78000</v>
      </c>
      <c r="F19" s="37">
        <f>402000+168000+24000</f>
        <v>594000</v>
      </c>
      <c r="G19" s="37">
        <v>693000</v>
      </c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0"/>
      <c r="U19" s="20"/>
      <c r="V19" s="20"/>
      <c r="W19" s="20"/>
      <c r="X19" s="20"/>
      <c r="Y19" s="20"/>
      <c r="Z19" s="20"/>
    </row>
    <row r="20" spans="1:26" ht="18">
      <c r="A20" s="35" t="s">
        <v>49</v>
      </c>
      <c r="B20" s="39" t="s">
        <v>50</v>
      </c>
      <c r="C20" s="38">
        <v>190000</v>
      </c>
      <c r="D20" s="38">
        <v>0</v>
      </c>
      <c r="E20" s="36">
        <v>335000</v>
      </c>
      <c r="F20" s="37">
        <f>335000+140000+20000</f>
        <v>495000</v>
      </c>
      <c r="G20" s="37">
        <f>335000+140000+20000</f>
        <v>495000</v>
      </c>
      <c r="H20" s="253"/>
      <c r="I20" s="253"/>
      <c r="J20" s="253"/>
      <c r="K20" s="253"/>
      <c r="L20" s="253"/>
      <c r="M20" s="253"/>
      <c r="N20" s="253"/>
      <c r="O20" s="253"/>
      <c r="P20" s="253"/>
      <c r="Q20" s="253"/>
      <c r="R20" s="253"/>
      <c r="S20" s="253"/>
      <c r="T20" s="20"/>
      <c r="U20" s="20"/>
      <c r="V20" s="20"/>
      <c r="W20" s="20"/>
      <c r="X20" s="20"/>
      <c r="Y20" s="20"/>
      <c r="Z20" s="20"/>
    </row>
    <row r="21" spans="1:26" ht="18">
      <c r="A21" s="35" t="s">
        <v>51</v>
      </c>
      <c r="B21" s="39" t="s">
        <v>52</v>
      </c>
      <c r="C21" s="36">
        <v>0</v>
      </c>
      <c r="D21" s="38">
        <v>0</v>
      </c>
      <c r="E21" s="38">
        <f t="shared" ref="E21:E24" si="2">F21-D21</f>
        <v>500000</v>
      </c>
      <c r="F21" s="37">
        <v>500000</v>
      </c>
      <c r="G21" s="37">
        <v>500000</v>
      </c>
      <c r="H21" s="253"/>
      <c r="I21" s="253"/>
      <c r="J21" s="253"/>
      <c r="K21" s="253"/>
      <c r="L21" s="253"/>
      <c r="M21" s="253"/>
      <c r="N21" s="253"/>
      <c r="O21" s="253"/>
      <c r="P21" s="253"/>
      <c r="Q21" s="253"/>
      <c r="R21" s="253"/>
      <c r="S21" s="253"/>
      <c r="T21" s="20"/>
      <c r="U21" s="20"/>
      <c r="V21" s="20"/>
      <c r="W21" s="20"/>
      <c r="X21" s="20"/>
      <c r="Y21" s="20"/>
      <c r="Z21" s="20"/>
    </row>
    <row r="22" spans="1:26" ht="18">
      <c r="A22" s="35" t="s">
        <v>53</v>
      </c>
      <c r="B22" s="39" t="s">
        <v>54</v>
      </c>
      <c r="C22" s="36">
        <v>1033475</v>
      </c>
      <c r="D22" s="38">
        <v>0</v>
      </c>
      <c r="E22" s="36">
        <f t="shared" si="2"/>
        <v>1949390</v>
      </c>
      <c r="F22" s="37">
        <f>1533390+364000+52000</f>
        <v>1949390</v>
      </c>
      <c r="G22" s="37">
        <v>2117477</v>
      </c>
      <c r="H22" s="253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20"/>
      <c r="U22" s="20"/>
      <c r="V22" s="20"/>
      <c r="W22" s="20"/>
      <c r="X22" s="20"/>
      <c r="Y22" s="20"/>
      <c r="Z22" s="20"/>
    </row>
    <row r="23" spans="1:26" ht="18">
      <c r="A23" s="35" t="s">
        <v>55</v>
      </c>
      <c r="B23" s="39" t="s">
        <v>56</v>
      </c>
      <c r="C23" s="36">
        <v>190000</v>
      </c>
      <c r="D23" s="38">
        <v>0</v>
      </c>
      <c r="E23" s="36">
        <f t="shared" si="2"/>
        <v>495000</v>
      </c>
      <c r="F23" s="37">
        <f>335000+140000+20000</f>
        <v>495000</v>
      </c>
      <c r="G23" s="37">
        <f>335000+140000+20000</f>
        <v>495000</v>
      </c>
      <c r="H23" s="253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0"/>
      <c r="U23" s="20"/>
      <c r="V23" s="20"/>
      <c r="W23" s="20"/>
      <c r="X23" s="20"/>
      <c r="Y23" s="20"/>
      <c r="Z23" s="20"/>
    </row>
    <row r="24" spans="1:26" ht="18">
      <c r="A24" s="35" t="s">
        <v>57</v>
      </c>
      <c r="B24" s="39" t="s">
        <v>58</v>
      </c>
      <c r="C24" s="36">
        <v>1064986</v>
      </c>
      <c r="D24" s="36">
        <v>1767986</v>
      </c>
      <c r="E24" s="36">
        <f t="shared" si="2"/>
        <v>181404</v>
      </c>
      <c r="F24" s="37">
        <f>1533390+364000+52000</f>
        <v>1949390</v>
      </c>
      <c r="G24" s="37">
        <v>2033336</v>
      </c>
      <c r="H24" s="253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0"/>
      <c r="U24" s="20"/>
      <c r="V24" s="20"/>
      <c r="W24" s="20"/>
      <c r="X24" s="20"/>
      <c r="Y24" s="20"/>
      <c r="Z24" s="20"/>
    </row>
    <row r="25" spans="1:26" ht="18">
      <c r="A25" s="35" t="s">
        <v>557</v>
      </c>
      <c r="B25" s="39" t="s">
        <v>58</v>
      </c>
      <c r="C25" s="36">
        <v>0</v>
      </c>
      <c r="D25" s="36">
        <v>0</v>
      </c>
      <c r="E25" s="36"/>
      <c r="F25" s="37"/>
      <c r="G25" s="37">
        <v>693000</v>
      </c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0"/>
      <c r="U25" s="20"/>
      <c r="V25" s="20"/>
      <c r="W25" s="20"/>
      <c r="X25" s="20"/>
      <c r="Y25" s="20"/>
      <c r="Z25" s="20"/>
    </row>
    <row r="26" spans="1:26" ht="18">
      <c r="A26" s="32" t="s">
        <v>59</v>
      </c>
      <c r="B26" s="39"/>
      <c r="C26" s="36"/>
      <c r="D26" s="36"/>
      <c r="E26" s="36"/>
      <c r="F26" s="37"/>
      <c r="G26" s="37"/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T26" s="20"/>
      <c r="U26" s="20"/>
      <c r="V26" s="20"/>
      <c r="W26" s="20"/>
      <c r="X26" s="20"/>
      <c r="Y26" s="20"/>
      <c r="Z26" s="20"/>
    </row>
    <row r="27" spans="1:26" ht="18">
      <c r="A27" s="35" t="s">
        <v>60</v>
      </c>
      <c r="B27" s="39" t="s">
        <v>61</v>
      </c>
      <c r="C27" s="36">
        <v>1597138.41</v>
      </c>
      <c r="D27" s="36">
        <v>1301029.82</v>
      </c>
      <c r="E27" s="36">
        <f t="shared" ref="E27:E30" si="3">F27-D27</f>
        <v>1506091.78</v>
      </c>
      <c r="F27" s="37">
        <f>2208081.6+524160+74880</f>
        <v>2807121.6</v>
      </c>
      <c r="G27" s="37">
        <v>2978488.44</v>
      </c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  <c r="T27" s="20"/>
      <c r="U27" s="20"/>
      <c r="V27" s="20"/>
      <c r="W27" s="20"/>
      <c r="X27" s="20"/>
      <c r="Y27" s="20"/>
      <c r="Z27" s="20"/>
    </row>
    <row r="28" spans="1:26" ht="18">
      <c r="A28" s="35" t="s">
        <v>62</v>
      </c>
      <c r="B28" s="39" t="s">
        <v>63</v>
      </c>
      <c r="C28" s="36">
        <v>47000</v>
      </c>
      <c r="D28" s="36">
        <v>102400</v>
      </c>
      <c r="E28" s="36">
        <f t="shared" si="3"/>
        <v>16400</v>
      </c>
      <c r="F28" s="37">
        <f>80400+33600+4800</f>
        <v>118800</v>
      </c>
      <c r="G28" s="37">
        <v>237600</v>
      </c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0"/>
      <c r="U28" s="20"/>
      <c r="V28" s="20"/>
      <c r="W28" s="20"/>
      <c r="X28" s="20"/>
      <c r="Y28" s="20"/>
      <c r="Z28" s="20"/>
    </row>
    <row r="29" spans="1:26" ht="18">
      <c r="A29" s="35" t="s">
        <v>64</v>
      </c>
      <c r="B29" s="39" t="s">
        <v>65</v>
      </c>
      <c r="C29" s="36">
        <v>240153.83</v>
      </c>
      <c r="D29" s="36">
        <v>275376.21999999997</v>
      </c>
      <c r="E29" s="36">
        <f t="shared" si="3"/>
        <v>238215.98000000004</v>
      </c>
      <c r="F29" s="37">
        <f>387232.2+98280+28080</f>
        <v>513592.2</v>
      </c>
      <c r="G29" s="37">
        <v>590783.6</v>
      </c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20"/>
      <c r="U29" s="20"/>
      <c r="V29" s="20"/>
      <c r="W29" s="20"/>
      <c r="X29" s="20"/>
      <c r="Y29" s="20"/>
      <c r="Z29" s="20"/>
    </row>
    <row r="30" spans="1:26" ht="18">
      <c r="A30" s="90" t="s">
        <v>66</v>
      </c>
      <c r="B30" s="39" t="s">
        <v>67</v>
      </c>
      <c r="C30" s="36">
        <v>47050</v>
      </c>
      <c r="D30" s="36">
        <v>55800</v>
      </c>
      <c r="E30" s="36">
        <f t="shared" si="3"/>
        <v>63000</v>
      </c>
      <c r="F30" s="37">
        <f>80400+33600+4800</f>
        <v>118800</v>
      </c>
      <c r="G30" s="37">
        <f>80400+33600+4800</f>
        <v>118800</v>
      </c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53"/>
      <c r="S30" s="253"/>
      <c r="T30" s="20"/>
      <c r="U30" s="20"/>
      <c r="V30" s="20"/>
      <c r="W30" s="20"/>
      <c r="X30" s="20"/>
      <c r="Y30" s="20"/>
      <c r="Z30" s="20"/>
    </row>
    <row r="31" spans="1:26" ht="18">
      <c r="A31" s="32" t="s">
        <v>68</v>
      </c>
      <c r="B31" s="39"/>
      <c r="C31" s="36"/>
      <c r="D31" s="36"/>
      <c r="E31" s="36"/>
      <c r="F31" s="37"/>
      <c r="G31" s="37"/>
      <c r="H31" s="253"/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20"/>
      <c r="U31" s="20"/>
      <c r="V31" s="20"/>
      <c r="W31" s="20"/>
      <c r="X31" s="20"/>
      <c r="Y31" s="20"/>
      <c r="Z31" s="20"/>
    </row>
    <row r="32" spans="1:26" ht="18">
      <c r="A32" s="42" t="s">
        <v>69</v>
      </c>
      <c r="B32" s="43" t="s">
        <v>70</v>
      </c>
      <c r="C32" s="36">
        <v>29555331.43</v>
      </c>
      <c r="D32" s="36">
        <v>4961887.0199999996</v>
      </c>
      <c r="E32" s="36">
        <f>F32-D32</f>
        <v>5038112.9800000004</v>
      </c>
      <c r="F32" s="37">
        <f>15000000-5000000</f>
        <v>10000000</v>
      </c>
      <c r="G32" s="37">
        <v>20000000</v>
      </c>
      <c r="H32" s="253"/>
      <c r="I32" s="253"/>
      <c r="J32" s="253"/>
      <c r="K32" s="253"/>
      <c r="L32" s="253"/>
      <c r="M32" s="253"/>
      <c r="N32" s="253"/>
      <c r="O32" s="253"/>
      <c r="P32" s="253"/>
      <c r="Q32" s="253"/>
      <c r="R32" s="253"/>
      <c r="S32" s="253"/>
      <c r="T32" s="20"/>
      <c r="U32" s="20"/>
      <c r="V32" s="20"/>
      <c r="W32" s="20"/>
      <c r="X32" s="20"/>
      <c r="Y32" s="20"/>
      <c r="Z32" s="20"/>
    </row>
    <row r="33" spans="1:26" ht="18.75" thickBot="1">
      <c r="A33" s="42" t="s">
        <v>635</v>
      </c>
      <c r="B33" s="43" t="s">
        <v>520</v>
      </c>
      <c r="C33" s="48">
        <v>20271000</v>
      </c>
      <c r="D33" s="48"/>
      <c r="E33" s="48"/>
      <c r="F33" s="258"/>
      <c r="G33" s="258">
        <f>(G13+G14)/12*10*0.0481927</f>
        <v>996815.27668324998</v>
      </c>
      <c r="H33" s="253"/>
      <c r="I33" s="253"/>
      <c r="J33" s="253"/>
      <c r="K33" s="253"/>
      <c r="L33" s="253"/>
      <c r="M33" s="253"/>
      <c r="N33" s="253"/>
      <c r="O33" s="253"/>
      <c r="P33" s="253"/>
      <c r="Q33" s="253"/>
      <c r="R33" s="253"/>
      <c r="S33" s="253"/>
      <c r="T33" s="20"/>
      <c r="U33" s="20"/>
      <c r="V33" s="20"/>
      <c r="W33" s="20"/>
      <c r="X33" s="20"/>
      <c r="Y33" s="20"/>
      <c r="Z33" s="20"/>
    </row>
    <row r="34" spans="1:26" ht="19.5" thickTop="1" thickBot="1">
      <c r="A34" s="50" t="s">
        <v>71</v>
      </c>
      <c r="B34" s="51"/>
      <c r="C34" s="52">
        <f>SUM(C13:C33)</f>
        <v>71974831.629999995</v>
      </c>
      <c r="D34" s="52">
        <f>SUM(D13:D32)</f>
        <v>21070395.060000002</v>
      </c>
      <c r="E34" s="52">
        <f>SUM(E13:E32)</f>
        <v>24343378.740000002</v>
      </c>
      <c r="F34" s="52">
        <f>SUM(F13:F32)</f>
        <v>45573773.800000004</v>
      </c>
      <c r="G34" s="52">
        <f>SUM(G13:G33)</f>
        <v>59446037.316683248</v>
      </c>
      <c r="H34" s="253"/>
      <c r="I34" s="253">
        <v>42955187.399999999</v>
      </c>
      <c r="J34" s="253"/>
      <c r="K34" s="253"/>
      <c r="L34" s="253"/>
      <c r="M34" s="253"/>
      <c r="N34" s="253"/>
      <c r="O34" s="253"/>
      <c r="P34" s="253"/>
      <c r="Q34" s="253"/>
      <c r="R34" s="253"/>
      <c r="S34" s="253"/>
      <c r="T34" s="20"/>
      <c r="U34" s="20"/>
      <c r="V34" s="20"/>
      <c r="W34" s="20"/>
      <c r="X34" s="20"/>
      <c r="Y34" s="20"/>
      <c r="Z34" s="20"/>
    </row>
    <row r="35" spans="1:26" ht="18.75" thickTop="1">
      <c r="A35" s="53" t="s">
        <v>72</v>
      </c>
      <c r="B35" s="54"/>
      <c r="C35" s="249"/>
      <c r="D35" s="249"/>
      <c r="E35" s="249"/>
      <c r="F35" s="249"/>
      <c r="G35" s="217"/>
      <c r="H35" s="253"/>
      <c r="I35" s="253"/>
      <c r="J35" s="253"/>
      <c r="K35" s="253"/>
      <c r="L35" s="253"/>
      <c r="M35" s="253"/>
      <c r="N35" s="253"/>
      <c r="O35" s="253"/>
      <c r="P35" s="253"/>
      <c r="Q35" s="253"/>
      <c r="R35" s="253"/>
      <c r="S35" s="253"/>
      <c r="T35" s="20"/>
      <c r="U35" s="20"/>
      <c r="V35" s="20"/>
      <c r="W35" s="20"/>
      <c r="X35" s="20"/>
      <c r="Y35" s="20"/>
      <c r="Z35" s="20"/>
    </row>
    <row r="36" spans="1:26" ht="18">
      <c r="A36" s="35" t="s">
        <v>73</v>
      </c>
      <c r="B36" s="54" t="s">
        <v>74</v>
      </c>
      <c r="C36" s="36">
        <v>1000000</v>
      </c>
      <c r="D36" s="36">
        <v>368270.07</v>
      </c>
      <c r="E36" s="36">
        <f t="shared" ref="E36:E52" si="4">F36-D36</f>
        <v>631729.92999999993</v>
      </c>
      <c r="F36" s="37">
        <v>1000000</v>
      </c>
      <c r="G36" s="37">
        <v>500000</v>
      </c>
      <c r="H36" s="253"/>
      <c r="I36" s="253"/>
      <c r="J36" s="259"/>
      <c r="K36" s="253"/>
      <c r="L36" s="253"/>
      <c r="M36" s="253"/>
      <c r="N36" s="253"/>
      <c r="O36" s="253"/>
      <c r="P36" s="253"/>
      <c r="Q36" s="253"/>
      <c r="R36" s="253"/>
      <c r="S36" s="253"/>
      <c r="T36" s="20"/>
      <c r="U36" s="20"/>
      <c r="V36" s="20"/>
      <c r="W36" s="20"/>
      <c r="X36" s="20"/>
      <c r="Y36" s="20"/>
      <c r="Z36" s="20"/>
    </row>
    <row r="37" spans="1:26" ht="18">
      <c r="A37" s="35" t="s">
        <v>636</v>
      </c>
      <c r="B37" s="54" t="s">
        <v>637</v>
      </c>
      <c r="C37" s="36">
        <v>0</v>
      </c>
      <c r="D37" s="36">
        <v>0</v>
      </c>
      <c r="E37" s="36"/>
      <c r="F37" s="37"/>
      <c r="G37" s="37">
        <v>1500000</v>
      </c>
      <c r="H37" s="253"/>
      <c r="I37" s="253"/>
      <c r="J37" s="253"/>
      <c r="K37" s="253"/>
      <c r="L37" s="253"/>
      <c r="M37" s="253"/>
      <c r="N37" s="253"/>
      <c r="O37" s="253"/>
      <c r="P37" s="253"/>
      <c r="Q37" s="253"/>
      <c r="R37" s="253"/>
      <c r="S37" s="253"/>
      <c r="T37" s="20"/>
      <c r="U37" s="20"/>
      <c r="V37" s="20"/>
      <c r="W37" s="20"/>
      <c r="X37" s="20"/>
      <c r="Y37" s="20"/>
      <c r="Z37" s="20"/>
    </row>
    <row r="38" spans="1:26" ht="18">
      <c r="A38" s="35" t="s">
        <v>75</v>
      </c>
      <c r="B38" s="54" t="s">
        <v>76</v>
      </c>
      <c r="C38" s="38">
        <v>290441</v>
      </c>
      <c r="D38" s="36">
        <v>250000</v>
      </c>
      <c r="E38" s="36">
        <f t="shared" si="4"/>
        <v>250000</v>
      </c>
      <c r="F38" s="37">
        <f>800000-300000</f>
        <v>500000</v>
      </c>
      <c r="G38" s="37">
        <v>500000</v>
      </c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  <c r="S38" s="253"/>
      <c r="T38" s="20"/>
      <c r="U38" s="20"/>
      <c r="V38" s="20"/>
      <c r="W38" s="20"/>
      <c r="X38" s="20"/>
      <c r="Y38" s="20"/>
      <c r="Z38" s="20"/>
    </row>
    <row r="39" spans="1:26" ht="18">
      <c r="A39" s="35" t="s">
        <v>77</v>
      </c>
      <c r="B39" s="39" t="s">
        <v>78</v>
      </c>
      <c r="C39" s="38">
        <v>1000000</v>
      </c>
      <c r="D39" s="38">
        <v>193575</v>
      </c>
      <c r="E39" s="36">
        <f t="shared" si="4"/>
        <v>904238.05999999982</v>
      </c>
      <c r="F39" s="37">
        <f>1122313.42+67000+8500-100000-0.36</f>
        <v>1097813.0599999998</v>
      </c>
      <c r="G39" s="37">
        <f>1000000+4979.47+2490.19+9361.44+28131.69</f>
        <v>1044962.7899999998</v>
      </c>
      <c r="H39" s="256"/>
      <c r="I39" s="256">
        <v>97813.06</v>
      </c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60"/>
      <c r="U39" s="60"/>
      <c r="V39" s="60"/>
      <c r="W39" s="60"/>
      <c r="X39" s="60"/>
      <c r="Y39" s="60"/>
      <c r="Z39" s="60"/>
    </row>
    <row r="40" spans="1:26" ht="18">
      <c r="A40" s="35" t="s">
        <v>79</v>
      </c>
      <c r="B40" s="39" t="s">
        <v>80</v>
      </c>
      <c r="C40" s="36">
        <v>1000000</v>
      </c>
      <c r="D40" s="36">
        <v>985765.6</v>
      </c>
      <c r="E40" s="36">
        <f t="shared" si="4"/>
        <v>14234.400000000023</v>
      </c>
      <c r="F40" s="37">
        <f>1500000-500000</f>
        <v>1000000</v>
      </c>
      <c r="G40" s="37">
        <v>1000000</v>
      </c>
      <c r="H40" s="253"/>
      <c r="I40" s="253"/>
      <c r="J40" s="253"/>
      <c r="K40" s="253"/>
      <c r="L40" s="253"/>
      <c r="M40" s="253"/>
      <c r="N40" s="253"/>
      <c r="O40" s="253"/>
      <c r="P40" s="253"/>
      <c r="Q40" s="253"/>
      <c r="R40" s="253"/>
      <c r="S40" s="253"/>
      <c r="T40" s="20"/>
      <c r="U40" s="20"/>
      <c r="V40" s="20"/>
      <c r="W40" s="20"/>
      <c r="X40" s="20"/>
      <c r="Y40" s="20"/>
      <c r="Z40" s="20"/>
    </row>
    <row r="41" spans="1:26" ht="18">
      <c r="A41" s="35" t="s">
        <v>81</v>
      </c>
      <c r="B41" s="39" t="s">
        <v>82</v>
      </c>
      <c r="C41" s="36">
        <v>3000000</v>
      </c>
      <c r="D41" s="36">
        <v>2184893.25</v>
      </c>
      <c r="E41" s="36">
        <f t="shared" si="4"/>
        <v>815106.75</v>
      </c>
      <c r="F41" s="37">
        <f>4000000-1000000</f>
        <v>3000000</v>
      </c>
      <c r="G41" s="37">
        <v>3000000</v>
      </c>
      <c r="H41" s="253"/>
      <c r="I41" s="253"/>
      <c r="J41" s="253"/>
      <c r="K41" s="253"/>
      <c r="L41" s="253"/>
      <c r="M41" s="253"/>
      <c r="N41" s="253"/>
      <c r="O41" s="253"/>
      <c r="P41" s="253"/>
      <c r="Q41" s="253"/>
      <c r="R41" s="253"/>
      <c r="S41" s="253"/>
      <c r="T41" s="20"/>
      <c r="U41" s="20"/>
      <c r="V41" s="20"/>
      <c r="W41" s="20"/>
      <c r="X41" s="20"/>
      <c r="Y41" s="20"/>
      <c r="Z41" s="20"/>
    </row>
    <row r="42" spans="1:26" ht="18">
      <c r="A42" s="35" t="s">
        <v>83</v>
      </c>
      <c r="B42" s="39" t="s">
        <v>84</v>
      </c>
      <c r="C42" s="38">
        <v>1060000</v>
      </c>
      <c r="D42" s="36">
        <v>197987</v>
      </c>
      <c r="E42" s="36">
        <f t="shared" si="4"/>
        <v>862013</v>
      </c>
      <c r="F42" s="37">
        <f t="shared" ref="F42" si="5">1000000+60000</f>
        <v>1060000</v>
      </c>
      <c r="G42" s="37">
        <v>500000</v>
      </c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60"/>
      <c r="U42" s="60"/>
      <c r="V42" s="60"/>
      <c r="W42" s="60"/>
      <c r="X42" s="60"/>
      <c r="Y42" s="60"/>
      <c r="Z42" s="60"/>
    </row>
    <row r="43" spans="1:26" ht="18">
      <c r="A43" s="35" t="s">
        <v>85</v>
      </c>
      <c r="B43" s="39" t="s">
        <v>86</v>
      </c>
      <c r="C43" s="38">
        <v>500000</v>
      </c>
      <c r="D43" s="36">
        <v>134080</v>
      </c>
      <c r="E43" s="36">
        <f t="shared" si="4"/>
        <v>365920</v>
      </c>
      <c r="F43" s="37">
        <v>500000</v>
      </c>
      <c r="G43" s="37">
        <v>500000</v>
      </c>
      <c r="H43" s="253"/>
      <c r="I43" s="253"/>
      <c r="J43" s="253"/>
      <c r="K43" s="253"/>
      <c r="L43" s="253"/>
      <c r="M43" s="253"/>
      <c r="N43" s="253"/>
      <c r="O43" s="253"/>
      <c r="P43" s="253"/>
      <c r="Q43" s="253"/>
      <c r="R43" s="253"/>
      <c r="S43" s="253"/>
      <c r="T43" s="20"/>
      <c r="U43" s="20"/>
      <c r="V43" s="20"/>
      <c r="W43" s="20"/>
      <c r="X43" s="20"/>
      <c r="Y43" s="20"/>
      <c r="Z43" s="20"/>
    </row>
    <row r="44" spans="1:26" ht="18">
      <c r="A44" s="35" t="s">
        <v>87</v>
      </c>
      <c r="B44" s="39" t="s">
        <v>88</v>
      </c>
      <c r="C44" s="36">
        <v>20000000</v>
      </c>
      <c r="D44" s="38">
        <v>0</v>
      </c>
      <c r="E44" s="36">
        <f t="shared" si="4"/>
        <v>20000000</v>
      </c>
      <c r="F44" s="37">
        <v>20000000</v>
      </c>
      <c r="G44" s="37">
        <v>35000000</v>
      </c>
      <c r="H44" s="253"/>
      <c r="I44" s="253"/>
      <c r="J44" s="253"/>
      <c r="K44" s="253"/>
      <c r="L44" s="253"/>
      <c r="M44" s="253"/>
      <c r="N44" s="253"/>
      <c r="O44" s="253"/>
      <c r="P44" s="253"/>
      <c r="Q44" s="253"/>
      <c r="R44" s="253"/>
      <c r="S44" s="253"/>
      <c r="T44" s="20"/>
      <c r="U44" s="20"/>
      <c r="V44" s="20"/>
      <c r="W44" s="20"/>
      <c r="X44" s="20"/>
      <c r="Y44" s="20"/>
      <c r="Z44" s="20"/>
    </row>
    <row r="45" spans="1:26" ht="18">
      <c r="A45" s="35" t="s">
        <v>89</v>
      </c>
      <c r="B45" s="39" t="s">
        <v>90</v>
      </c>
      <c r="C45" s="36">
        <v>7095761.7000000002</v>
      </c>
      <c r="D45" s="36">
        <v>3424948.07</v>
      </c>
      <c r="E45" s="36">
        <f t="shared" si="4"/>
        <v>3575051.93</v>
      </c>
      <c r="F45" s="37">
        <f>8000000-1000000</f>
        <v>7000000</v>
      </c>
      <c r="G45" s="37">
        <v>5000000</v>
      </c>
      <c r="H45" s="253"/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0"/>
      <c r="U45" s="20"/>
      <c r="V45" s="20"/>
      <c r="W45" s="20"/>
      <c r="X45" s="20"/>
      <c r="Y45" s="20"/>
      <c r="Z45" s="20"/>
    </row>
    <row r="46" spans="1:26" ht="18">
      <c r="A46" s="35" t="s">
        <v>91</v>
      </c>
      <c r="B46" s="39" t="s">
        <v>92</v>
      </c>
      <c r="C46" s="38">
        <v>4432000</v>
      </c>
      <c r="D46" s="36">
        <v>1764000</v>
      </c>
      <c r="E46" s="36">
        <f t="shared" si="4"/>
        <v>2236000</v>
      </c>
      <c r="F46" s="37">
        <v>4000000</v>
      </c>
      <c r="G46" s="37">
        <v>4000000</v>
      </c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0"/>
      <c r="U46" s="20"/>
      <c r="V46" s="20"/>
      <c r="W46" s="20"/>
      <c r="X46" s="20"/>
      <c r="Y46" s="20"/>
      <c r="Z46" s="20"/>
    </row>
    <row r="47" spans="1:26" ht="18">
      <c r="A47" s="35" t="s">
        <v>93</v>
      </c>
      <c r="B47" s="39" t="s">
        <v>94</v>
      </c>
      <c r="C47" s="36">
        <v>13712302.380000001</v>
      </c>
      <c r="D47" s="36">
        <v>6331341.7599999998</v>
      </c>
      <c r="E47" s="36">
        <f t="shared" si="4"/>
        <v>7483132.2899999991</v>
      </c>
      <c r="F47" s="37">
        <f>13813887.11+586.94</f>
        <v>13814474.049999999</v>
      </c>
      <c r="G47" s="37">
        <v>10000000</v>
      </c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20"/>
      <c r="U47" s="20"/>
      <c r="V47" s="20"/>
      <c r="W47" s="20"/>
      <c r="X47" s="20"/>
      <c r="Y47" s="20"/>
      <c r="Z47" s="20"/>
    </row>
    <row r="48" spans="1:26" ht="18">
      <c r="A48" s="35" t="s">
        <v>96</v>
      </c>
      <c r="B48" s="39" t="s">
        <v>97</v>
      </c>
      <c r="C48" s="38">
        <v>1000000</v>
      </c>
      <c r="D48" s="38">
        <v>0</v>
      </c>
      <c r="E48" s="36">
        <f t="shared" si="4"/>
        <v>500000</v>
      </c>
      <c r="F48" s="37">
        <v>500000</v>
      </c>
      <c r="G48" s="37">
        <v>200000</v>
      </c>
      <c r="H48" s="253"/>
      <c r="I48" s="253"/>
      <c r="J48" s="253"/>
      <c r="K48" s="253"/>
      <c r="L48" s="253"/>
      <c r="M48" s="253"/>
      <c r="N48" s="253"/>
      <c r="O48" s="253"/>
      <c r="P48" s="253"/>
      <c r="Q48" s="253"/>
      <c r="R48" s="253"/>
      <c r="S48" s="253"/>
      <c r="T48" s="20"/>
      <c r="U48" s="20"/>
      <c r="V48" s="20"/>
      <c r="W48" s="20"/>
      <c r="X48" s="20"/>
      <c r="Y48" s="20"/>
      <c r="Z48" s="20"/>
    </row>
    <row r="49" spans="1:26" ht="18">
      <c r="A49" s="35" t="s">
        <v>98</v>
      </c>
      <c r="B49" s="39" t="s">
        <v>99</v>
      </c>
      <c r="C49" s="38">
        <v>1000000</v>
      </c>
      <c r="D49" s="38">
        <v>751998.4</v>
      </c>
      <c r="E49" s="72">
        <f t="shared" si="4"/>
        <v>2248001.6</v>
      </c>
      <c r="F49" s="37">
        <v>3000000</v>
      </c>
      <c r="G49" s="37">
        <v>3000000</v>
      </c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60"/>
      <c r="U49" s="60"/>
      <c r="V49" s="60"/>
      <c r="W49" s="60"/>
      <c r="X49" s="60"/>
      <c r="Y49" s="60"/>
      <c r="Z49" s="60"/>
    </row>
    <row r="50" spans="1:26" ht="18">
      <c r="A50" s="35" t="s">
        <v>100</v>
      </c>
      <c r="B50" s="39" t="s">
        <v>101</v>
      </c>
      <c r="C50" s="38">
        <v>8800000</v>
      </c>
      <c r="D50" s="56">
        <v>3729114.85</v>
      </c>
      <c r="E50" s="36">
        <f t="shared" si="4"/>
        <v>6270885.1500000004</v>
      </c>
      <c r="F50" s="37">
        <v>10000000</v>
      </c>
      <c r="G50" s="37">
        <v>10000000</v>
      </c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0"/>
      <c r="U50" s="20"/>
      <c r="V50" s="20"/>
      <c r="W50" s="20"/>
      <c r="X50" s="20"/>
      <c r="Y50" s="20"/>
      <c r="Z50" s="20"/>
    </row>
    <row r="51" spans="1:26" ht="36">
      <c r="A51" s="95" t="s">
        <v>104</v>
      </c>
      <c r="B51" s="39" t="s">
        <v>105</v>
      </c>
      <c r="C51" s="38">
        <v>400000</v>
      </c>
      <c r="D51" s="56">
        <v>60000</v>
      </c>
      <c r="E51" s="36">
        <f t="shared" si="4"/>
        <v>340000</v>
      </c>
      <c r="F51" s="37">
        <v>400000</v>
      </c>
      <c r="G51" s="37">
        <v>300000</v>
      </c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60"/>
      <c r="U51" s="60"/>
      <c r="V51" s="60"/>
      <c r="W51" s="60"/>
      <c r="X51" s="60"/>
      <c r="Y51" s="60"/>
      <c r="Z51" s="60"/>
    </row>
    <row r="52" spans="1:26" ht="18">
      <c r="A52" s="90" t="s">
        <v>106</v>
      </c>
      <c r="B52" s="240" t="s">
        <v>107</v>
      </c>
      <c r="C52" s="36">
        <v>20000000</v>
      </c>
      <c r="D52" s="56">
        <v>9550486.0500000007</v>
      </c>
      <c r="E52" s="36">
        <f t="shared" si="4"/>
        <v>10449513.949999999</v>
      </c>
      <c r="F52" s="37">
        <v>20000000</v>
      </c>
      <c r="G52" s="37">
        <v>20000000</v>
      </c>
      <c r="H52" s="253"/>
      <c r="I52" s="253"/>
      <c r="J52" s="253"/>
      <c r="K52" s="253"/>
      <c r="L52" s="253"/>
      <c r="M52" s="253"/>
      <c r="N52" s="253"/>
      <c r="O52" s="253"/>
      <c r="P52" s="253"/>
      <c r="Q52" s="253"/>
      <c r="R52" s="253"/>
      <c r="S52" s="253"/>
      <c r="T52" s="20"/>
      <c r="U52" s="20"/>
      <c r="V52" s="20"/>
      <c r="W52" s="20"/>
      <c r="X52" s="20"/>
      <c r="Y52" s="20"/>
      <c r="Z52" s="20"/>
    </row>
    <row r="53" spans="1:26" ht="18">
      <c r="A53" s="35" t="s">
        <v>108</v>
      </c>
      <c r="B53" s="39" t="s">
        <v>109</v>
      </c>
      <c r="C53" s="36"/>
      <c r="D53" s="56"/>
      <c r="E53" s="36"/>
      <c r="F53" s="80"/>
      <c r="G53" s="80"/>
      <c r="H53" s="253" t="s">
        <v>110</v>
      </c>
      <c r="I53" s="253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0"/>
      <c r="U53" s="20"/>
      <c r="V53" s="20"/>
      <c r="W53" s="20"/>
      <c r="X53" s="20"/>
      <c r="Y53" s="20"/>
      <c r="Z53" s="20"/>
    </row>
    <row r="54" spans="1:26" ht="18">
      <c r="A54" s="81" t="s">
        <v>111</v>
      </c>
      <c r="B54" s="39"/>
      <c r="C54" s="38">
        <v>2329382</v>
      </c>
      <c r="D54" s="55">
        <v>0</v>
      </c>
      <c r="E54" s="36">
        <f>F54-D54</f>
        <v>2000000</v>
      </c>
      <c r="F54" s="80">
        <f>3500000-1500000</f>
        <v>2000000</v>
      </c>
      <c r="G54" s="80">
        <v>2000000</v>
      </c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0"/>
      <c r="U54" s="20"/>
      <c r="V54" s="20"/>
      <c r="W54" s="20"/>
      <c r="X54" s="20"/>
      <c r="Y54" s="20"/>
      <c r="Z54" s="20"/>
    </row>
    <row r="55" spans="1:26" ht="36">
      <c r="A55" s="82" t="s">
        <v>112</v>
      </c>
      <c r="B55" s="39"/>
      <c r="C55" s="38">
        <v>0</v>
      </c>
      <c r="D55" s="55">
        <v>374607.8</v>
      </c>
      <c r="E55" s="38">
        <v>0</v>
      </c>
      <c r="F55" s="80">
        <v>1000000</v>
      </c>
      <c r="G55" s="80">
        <v>500000</v>
      </c>
      <c r="H55" s="253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0"/>
      <c r="U55" s="20"/>
      <c r="V55" s="20"/>
      <c r="W55" s="20"/>
      <c r="X55" s="20"/>
      <c r="Y55" s="20"/>
      <c r="Z55" s="20"/>
    </row>
    <row r="56" spans="1:26" ht="18">
      <c r="A56" s="81" t="s">
        <v>113</v>
      </c>
      <c r="B56" s="39"/>
      <c r="C56" s="38">
        <v>1000000</v>
      </c>
      <c r="D56" s="55">
        <v>0</v>
      </c>
      <c r="E56" s="36">
        <f>F56-D56</f>
        <v>1000000</v>
      </c>
      <c r="F56" s="80">
        <v>1000000</v>
      </c>
      <c r="G56" s="80">
        <v>500000</v>
      </c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0"/>
      <c r="U56" s="20"/>
      <c r="V56" s="20"/>
      <c r="W56" s="20"/>
      <c r="X56" s="20"/>
      <c r="Y56" s="20"/>
      <c r="Z56" s="20"/>
    </row>
    <row r="57" spans="1:26" ht="54">
      <c r="A57" s="82" t="s">
        <v>114</v>
      </c>
      <c r="B57" s="39"/>
      <c r="C57" s="38">
        <v>0</v>
      </c>
      <c r="D57" s="55">
        <v>990566.5</v>
      </c>
      <c r="E57" s="38">
        <v>0</v>
      </c>
      <c r="F57" s="80">
        <v>1000000</v>
      </c>
      <c r="G57" s="80">
        <v>1000000</v>
      </c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0"/>
      <c r="U57" s="20"/>
      <c r="V57" s="20"/>
      <c r="W57" s="20"/>
      <c r="X57" s="20"/>
      <c r="Y57" s="20"/>
      <c r="Z57" s="20"/>
    </row>
    <row r="58" spans="1:26" ht="18">
      <c r="A58" s="81" t="s">
        <v>115</v>
      </c>
      <c r="B58" s="39"/>
      <c r="C58" s="38">
        <v>40000000</v>
      </c>
      <c r="D58" s="38">
        <v>0</v>
      </c>
      <c r="E58" s="229">
        <v>0</v>
      </c>
      <c r="F58" s="80">
        <f>20000000-10000000</f>
        <v>10000000</v>
      </c>
      <c r="G58" s="80">
        <v>0</v>
      </c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0"/>
      <c r="U58" s="20"/>
      <c r="V58" s="20"/>
      <c r="W58" s="20"/>
      <c r="X58" s="20"/>
      <c r="Y58" s="20"/>
      <c r="Z58" s="20"/>
    </row>
    <row r="59" spans="1:26" ht="36">
      <c r="A59" s="82" t="s">
        <v>116</v>
      </c>
      <c r="B59" s="39"/>
      <c r="C59" s="38"/>
      <c r="D59" s="38">
        <v>0</v>
      </c>
      <c r="E59" s="38">
        <f>F59-D59</f>
        <v>1000000</v>
      </c>
      <c r="F59" s="80">
        <v>1000000</v>
      </c>
      <c r="G59" s="80">
        <v>0</v>
      </c>
      <c r="H59" s="253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0"/>
      <c r="U59" s="20"/>
      <c r="V59" s="20"/>
      <c r="W59" s="20"/>
      <c r="X59" s="20"/>
      <c r="Y59" s="20"/>
      <c r="Z59" s="20"/>
    </row>
    <row r="60" spans="1:26" ht="18">
      <c r="A60" s="81" t="s">
        <v>117</v>
      </c>
      <c r="B60" s="39"/>
      <c r="C60" s="38"/>
      <c r="D60" s="38">
        <v>0</v>
      </c>
      <c r="E60" s="38">
        <v>0</v>
      </c>
      <c r="F60" s="80">
        <v>500000</v>
      </c>
      <c r="G60" s="80">
        <v>0</v>
      </c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0"/>
      <c r="U60" s="20"/>
      <c r="V60" s="20"/>
      <c r="W60" s="20"/>
      <c r="X60" s="20"/>
      <c r="Y60" s="20"/>
      <c r="Z60" s="20"/>
    </row>
    <row r="61" spans="1:26" ht="18">
      <c r="A61" s="81" t="s">
        <v>118</v>
      </c>
      <c r="B61" s="39"/>
      <c r="C61" s="38">
        <v>10000000</v>
      </c>
      <c r="D61" s="36">
        <v>143270.37</v>
      </c>
      <c r="E61" s="36">
        <f t="shared" ref="E61:E62" si="6">F61-D61</f>
        <v>19856729.629999999</v>
      </c>
      <c r="F61" s="80">
        <f>30000000-10000000</f>
        <v>20000000</v>
      </c>
      <c r="G61" s="80">
        <v>15000000</v>
      </c>
      <c r="H61" s="253"/>
      <c r="I61" s="253"/>
      <c r="J61" s="253"/>
      <c r="K61" s="253"/>
      <c r="L61" s="253"/>
      <c r="M61" s="253"/>
      <c r="N61" s="253"/>
      <c r="O61" s="253"/>
      <c r="P61" s="253"/>
      <c r="Q61" s="253"/>
      <c r="R61" s="253"/>
      <c r="S61" s="253"/>
      <c r="T61" s="20"/>
      <c r="U61" s="20"/>
      <c r="V61" s="20"/>
      <c r="W61" s="20"/>
      <c r="X61" s="20"/>
      <c r="Y61" s="20"/>
      <c r="Z61" s="20"/>
    </row>
    <row r="62" spans="1:26" ht="36">
      <c r="A62" s="82" t="s">
        <v>119</v>
      </c>
      <c r="B62" s="30"/>
      <c r="C62" s="36">
        <v>7999472.9800000004</v>
      </c>
      <c r="D62" s="260">
        <v>0</v>
      </c>
      <c r="E62" s="36">
        <f t="shared" si="6"/>
        <v>8000000</v>
      </c>
      <c r="F62" s="37">
        <v>8000000</v>
      </c>
      <c r="G62" s="37">
        <v>5000000</v>
      </c>
      <c r="H62" s="253"/>
      <c r="I62" s="253"/>
      <c r="J62" s="253"/>
      <c r="K62" s="253"/>
      <c r="L62" s="253"/>
      <c r="M62" s="253"/>
      <c r="N62" s="253"/>
      <c r="O62" s="253"/>
      <c r="P62" s="253"/>
      <c r="Q62" s="253"/>
      <c r="R62" s="253"/>
      <c r="S62" s="253"/>
      <c r="T62" s="20"/>
      <c r="U62" s="20"/>
      <c r="V62" s="20"/>
      <c r="W62" s="20"/>
      <c r="X62" s="20"/>
      <c r="Y62" s="20"/>
      <c r="Z62" s="20"/>
    </row>
    <row r="63" spans="1:26" ht="18">
      <c r="A63" s="82" t="s">
        <v>120</v>
      </c>
      <c r="B63" s="39"/>
      <c r="C63" s="38"/>
      <c r="D63" s="38">
        <v>350000</v>
      </c>
      <c r="E63" s="38">
        <v>0</v>
      </c>
      <c r="F63" s="80">
        <v>1000000</v>
      </c>
      <c r="G63" s="80">
        <v>1000000</v>
      </c>
      <c r="H63" s="253"/>
      <c r="I63" s="253"/>
      <c r="J63" s="253"/>
      <c r="K63" s="253"/>
      <c r="L63" s="253"/>
      <c r="M63" s="253"/>
      <c r="N63" s="253"/>
      <c r="O63" s="253"/>
      <c r="P63" s="253"/>
      <c r="Q63" s="253"/>
      <c r="R63" s="253"/>
      <c r="S63" s="253"/>
      <c r="T63" s="20"/>
      <c r="U63" s="20"/>
      <c r="V63" s="20"/>
      <c r="W63" s="20"/>
      <c r="X63" s="20"/>
      <c r="Y63" s="20"/>
      <c r="Z63" s="20"/>
    </row>
    <row r="64" spans="1:26" ht="36">
      <c r="A64" s="82" t="s">
        <v>121</v>
      </c>
      <c r="B64" s="39"/>
      <c r="C64" s="38">
        <v>999978.48</v>
      </c>
      <c r="D64" s="38">
        <v>0</v>
      </c>
      <c r="E64" s="36">
        <f t="shared" ref="E64:E66" si="7">F64-D64</f>
        <v>400000</v>
      </c>
      <c r="F64" s="80">
        <v>400000</v>
      </c>
      <c r="G64" s="80">
        <v>0</v>
      </c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0"/>
      <c r="U64" s="20"/>
      <c r="V64" s="20"/>
      <c r="W64" s="20"/>
      <c r="X64" s="20"/>
      <c r="Y64" s="20"/>
      <c r="Z64" s="20"/>
    </row>
    <row r="65" spans="1:26" ht="18">
      <c r="A65" s="81" t="s">
        <v>122</v>
      </c>
      <c r="B65" s="30"/>
      <c r="C65" s="36">
        <v>2949655</v>
      </c>
      <c r="D65" s="260">
        <v>110000</v>
      </c>
      <c r="E65" s="36">
        <f t="shared" si="7"/>
        <v>1890000</v>
      </c>
      <c r="F65" s="37">
        <f>2500000-500000</f>
        <v>2000000</v>
      </c>
      <c r="G65" s="37">
        <v>3000000</v>
      </c>
      <c r="H65" s="261"/>
      <c r="I65" s="261"/>
      <c r="J65" s="262"/>
      <c r="K65" s="253"/>
      <c r="L65" s="253"/>
      <c r="M65" s="253"/>
      <c r="N65" s="253"/>
      <c r="O65" s="253"/>
      <c r="P65" s="253"/>
      <c r="Q65" s="253"/>
      <c r="R65" s="253"/>
      <c r="S65" s="253"/>
      <c r="T65" s="20"/>
      <c r="U65" s="20"/>
      <c r="V65" s="20"/>
      <c r="W65" s="20"/>
      <c r="X65" s="20"/>
      <c r="Y65" s="20"/>
      <c r="Z65" s="20"/>
    </row>
    <row r="66" spans="1:26" ht="36">
      <c r="A66" s="208" t="s">
        <v>123</v>
      </c>
      <c r="B66" s="263"/>
      <c r="C66" s="264">
        <v>29877200</v>
      </c>
      <c r="D66" s="179">
        <v>4027580.77</v>
      </c>
      <c r="E66" s="264">
        <f t="shared" si="7"/>
        <v>3172419.23</v>
      </c>
      <c r="F66" s="182">
        <v>7200000</v>
      </c>
      <c r="G66" s="182">
        <f>8000000+230000-1090140-1000000</f>
        <v>6139860</v>
      </c>
      <c r="H66" s="265"/>
      <c r="I66" s="262"/>
      <c r="J66" s="262"/>
      <c r="K66" s="256"/>
      <c r="L66" s="256"/>
      <c r="M66" s="256"/>
      <c r="N66" s="256"/>
      <c r="O66" s="256"/>
      <c r="P66" s="256"/>
      <c r="Q66" s="256"/>
      <c r="R66" s="256"/>
      <c r="S66" s="256"/>
      <c r="T66" s="60"/>
      <c r="U66" s="60"/>
      <c r="V66" s="60"/>
      <c r="W66" s="60"/>
      <c r="X66" s="60"/>
      <c r="Y66" s="60"/>
      <c r="Z66" s="60"/>
    </row>
    <row r="67" spans="1:26" ht="18">
      <c r="A67" s="266"/>
      <c r="B67" s="65"/>
      <c r="C67" s="176"/>
      <c r="D67" s="267"/>
      <c r="E67" s="176"/>
      <c r="F67" s="267"/>
      <c r="G67" s="267"/>
      <c r="H67" s="268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60"/>
      <c r="U67" s="60"/>
      <c r="V67" s="60"/>
      <c r="W67" s="60"/>
      <c r="X67" s="60"/>
      <c r="Y67" s="60"/>
      <c r="Z67" s="60"/>
    </row>
    <row r="68" spans="1:26" ht="18">
      <c r="A68" s="266"/>
      <c r="B68" s="65"/>
      <c r="C68" s="176"/>
      <c r="D68" s="267"/>
      <c r="E68" s="176"/>
      <c r="F68" s="267"/>
      <c r="G68" s="267"/>
      <c r="H68" s="268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60"/>
      <c r="U68" s="60"/>
      <c r="V68" s="60"/>
      <c r="W68" s="60"/>
      <c r="X68" s="60"/>
      <c r="Y68" s="60"/>
      <c r="Z68" s="60"/>
    </row>
    <row r="69" spans="1:26" ht="18">
      <c r="A69" s="1220" t="s">
        <v>126</v>
      </c>
      <c r="B69" s="1220"/>
      <c r="C69" s="1220"/>
      <c r="D69" s="1220"/>
      <c r="E69" s="1220"/>
      <c r="F69" s="1220"/>
      <c r="G69" s="1220"/>
      <c r="H69" s="253"/>
      <c r="I69" s="253"/>
      <c r="J69" s="253"/>
      <c r="K69" s="253"/>
      <c r="L69" s="253"/>
      <c r="M69" s="253"/>
      <c r="N69" s="253"/>
      <c r="O69" s="253"/>
      <c r="P69" s="253"/>
      <c r="Q69" s="253"/>
      <c r="R69" s="253"/>
      <c r="S69" s="253"/>
      <c r="T69" s="20"/>
      <c r="U69" s="20"/>
      <c r="V69" s="20"/>
      <c r="W69" s="20"/>
      <c r="X69" s="20"/>
      <c r="Y69" s="20"/>
      <c r="Z69" s="20"/>
    </row>
    <row r="70" spans="1:26" ht="18">
      <c r="A70" s="19" t="s">
        <v>13</v>
      </c>
      <c r="B70" s="20"/>
      <c r="C70" s="21"/>
      <c r="D70" s="21"/>
      <c r="E70" s="21"/>
      <c r="F70" s="20"/>
      <c r="G70" s="20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0"/>
      <c r="U70" s="20"/>
      <c r="V70" s="20"/>
      <c r="W70" s="20"/>
      <c r="X70" s="20"/>
      <c r="Y70" s="20"/>
      <c r="Z70" s="20"/>
    </row>
    <row r="71" spans="1:26" ht="21">
      <c r="A71" s="1210" t="s">
        <v>0</v>
      </c>
      <c r="B71" s="1211"/>
      <c r="C71" s="1211"/>
      <c r="D71" s="1211"/>
      <c r="E71" s="1211"/>
      <c r="F71" s="1211"/>
      <c r="G71" s="1211"/>
      <c r="H71" s="254"/>
      <c r="I71" s="254"/>
      <c r="J71" s="254"/>
      <c r="K71" s="254"/>
      <c r="L71" s="254"/>
      <c r="M71" s="254"/>
      <c r="N71" s="254"/>
      <c r="O71" s="254"/>
      <c r="P71" s="254"/>
      <c r="Q71" s="254"/>
      <c r="R71" s="254"/>
      <c r="S71" s="254"/>
      <c r="T71" s="255"/>
      <c r="U71" s="255"/>
      <c r="V71" s="255"/>
      <c r="W71" s="255"/>
      <c r="X71" s="255"/>
      <c r="Y71" s="255"/>
      <c r="Z71" s="255"/>
    </row>
    <row r="72" spans="1:26" ht="18">
      <c r="A72" s="1212" t="s">
        <v>14</v>
      </c>
      <c r="B72" s="1211"/>
      <c r="C72" s="1211"/>
      <c r="D72" s="1211"/>
      <c r="E72" s="1211"/>
      <c r="F72" s="1211"/>
      <c r="G72" s="1211"/>
      <c r="H72" s="254"/>
      <c r="I72" s="254"/>
      <c r="J72" s="254"/>
      <c r="K72" s="254"/>
      <c r="L72" s="254"/>
      <c r="M72" s="254"/>
      <c r="N72" s="254"/>
      <c r="O72" s="254"/>
      <c r="P72" s="254"/>
      <c r="Q72" s="254"/>
      <c r="R72" s="254"/>
      <c r="S72" s="254"/>
      <c r="T72" s="255"/>
      <c r="U72" s="255"/>
      <c r="V72" s="255"/>
      <c r="W72" s="255"/>
      <c r="X72" s="255"/>
      <c r="Y72" s="255"/>
      <c r="Z72" s="255"/>
    </row>
    <row r="73" spans="1:26" ht="18">
      <c r="A73" s="20"/>
      <c r="B73" s="20"/>
      <c r="C73" s="21"/>
      <c r="D73" s="21"/>
      <c r="E73" s="21"/>
      <c r="F73" s="20"/>
      <c r="G73" s="20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0"/>
      <c r="U73" s="20"/>
      <c r="V73" s="20"/>
      <c r="W73" s="20"/>
      <c r="X73" s="20"/>
      <c r="Y73" s="20"/>
      <c r="Z73" s="20"/>
    </row>
    <row r="74" spans="1:26" ht="18.75" thickBot="1">
      <c r="A74" s="20" t="s">
        <v>15</v>
      </c>
      <c r="B74" s="20"/>
      <c r="C74" s="21"/>
      <c r="D74" s="21"/>
      <c r="E74" s="21"/>
      <c r="F74" s="20"/>
      <c r="G74" s="20"/>
      <c r="H74" s="253"/>
      <c r="I74" s="253"/>
      <c r="J74" s="253"/>
      <c r="K74" s="253"/>
      <c r="L74" s="253"/>
      <c r="M74" s="253"/>
      <c r="N74" s="253"/>
      <c r="O74" s="253"/>
      <c r="P74" s="253"/>
      <c r="Q74" s="253"/>
      <c r="R74" s="253"/>
      <c r="S74" s="253"/>
      <c r="T74" s="20"/>
      <c r="U74" s="20"/>
      <c r="V74" s="20"/>
      <c r="W74" s="20"/>
      <c r="X74" s="20"/>
      <c r="Y74" s="20"/>
      <c r="Z74" s="20"/>
    </row>
    <row r="75" spans="1:26" ht="16.5" customHeight="1" thickTop="1" thickBot="1">
      <c r="A75" s="1213" t="s">
        <v>16</v>
      </c>
      <c r="B75" s="1213" t="s">
        <v>17</v>
      </c>
      <c r="C75" s="1215" t="s">
        <v>18</v>
      </c>
      <c r="D75" s="1216" t="s">
        <v>19</v>
      </c>
      <c r="E75" s="1217"/>
      <c r="F75" s="1218"/>
      <c r="G75" s="1219" t="s">
        <v>20</v>
      </c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60"/>
      <c r="U75" s="60"/>
      <c r="V75" s="60"/>
      <c r="W75" s="60"/>
      <c r="X75" s="60"/>
      <c r="Y75" s="60"/>
      <c r="Z75" s="60"/>
    </row>
    <row r="76" spans="1:26" ht="35.25" thickTop="1">
      <c r="A76" s="1214"/>
      <c r="B76" s="1214"/>
      <c r="C76" s="1214"/>
      <c r="D76" s="23" t="s">
        <v>21</v>
      </c>
      <c r="E76" s="23" t="s">
        <v>22</v>
      </c>
      <c r="F76" s="1213" t="s">
        <v>23</v>
      </c>
      <c r="G76" s="1214"/>
      <c r="H76" s="256"/>
      <c r="I76" s="256"/>
      <c r="J76" s="256"/>
      <c r="K76" s="256"/>
      <c r="L76" s="256"/>
      <c r="M76" s="256"/>
      <c r="N76" s="256"/>
      <c r="O76" s="256"/>
      <c r="P76" s="256"/>
      <c r="Q76" s="256"/>
      <c r="R76" s="256"/>
      <c r="S76" s="256"/>
      <c r="T76" s="60"/>
      <c r="U76" s="60"/>
      <c r="V76" s="60"/>
      <c r="W76" s="60"/>
      <c r="X76" s="60"/>
      <c r="Y76" s="60"/>
      <c r="Z76" s="60"/>
    </row>
    <row r="77" spans="1:26" ht="18">
      <c r="A77" s="1214"/>
      <c r="B77" s="1214"/>
      <c r="C77" s="1214"/>
      <c r="D77" s="24" t="s">
        <v>24</v>
      </c>
      <c r="E77" s="24" t="s">
        <v>25</v>
      </c>
      <c r="F77" s="1214"/>
      <c r="G77" s="1214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60"/>
      <c r="U77" s="60"/>
      <c r="V77" s="60"/>
      <c r="W77" s="60"/>
      <c r="X77" s="60"/>
      <c r="Y77" s="60"/>
      <c r="Z77" s="60"/>
    </row>
    <row r="78" spans="1:26" ht="18.75" thickBot="1">
      <c r="A78" s="25" t="s">
        <v>26</v>
      </c>
      <c r="B78" s="25" t="s">
        <v>27</v>
      </c>
      <c r="C78" s="26" t="s">
        <v>28</v>
      </c>
      <c r="D78" s="26" t="s">
        <v>29</v>
      </c>
      <c r="E78" s="26" t="s">
        <v>30</v>
      </c>
      <c r="F78" s="25" t="s">
        <v>31</v>
      </c>
      <c r="G78" s="25" t="s">
        <v>32</v>
      </c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60"/>
      <c r="U78" s="60"/>
      <c r="V78" s="60"/>
      <c r="W78" s="60"/>
      <c r="X78" s="60"/>
      <c r="Y78" s="60"/>
      <c r="Z78" s="60"/>
    </row>
    <row r="79" spans="1:26" ht="18.75" thickTop="1">
      <c r="A79" s="81" t="s">
        <v>124</v>
      </c>
      <c r="B79" s="39"/>
      <c r="C79" s="38">
        <v>20000000</v>
      </c>
      <c r="D79" s="38"/>
      <c r="E79" s="38">
        <v>0</v>
      </c>
      <c r="F79" s="80">
        <f>10000000-5000000</f>
        <v>5000000</v>
      </c>
      <c r="G79" s="80">
        <v>3000000</v>
      </c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60"/>
      <c r="U79" s="60"/>
      <c r="V79" s="60"/>
      <c r="W79" s="60"/>
      <c r="X79" s="60"/>
      <c r="Y79" s="60"/>
      <c r="Z79" s="60"/>
    </row>
    <row r="80" spans="1:26" ht="18">
      <c r="A80" s="81" t="s">
        <v>125</v>
      </c>
      <c r="B80" s="39"/>
      <c r="C80" s="38"/>
      <c r="D80" s="38">
        <v>1801264</v>
      </c>
      <c r="E80" s="38">
        <v>0</v>
      </c>
      <c r="F80" s="80">
        <v>3000000</v>
      </c>
      <c r="G80" s="80">
        <v>2000000</v>
      </c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60"/>
      <c r="U80" s="60"/>
      <c r="V80" s="60"/>
      <c r="W80" s="60"/>
      <c r="X80" s="60"/>
      <c r="Y80" s="60"/>
      <c r="Z80" s="60"/>
    </row>
    <row r="81" spans="1:26" ht="18">
      <c r="A81" s="81" t="s">
        <v>127</v>
      </c>
      <c r="B81" s="39"/>
      <c r="C81" s="38">
        <f>1000000+16148000</f>
        <v>17148000</v>
      </c>
      <c r="D81" s="38">
        <v>0</v>
      </c>
      <c r="E81" s="36">
        <f>F81-D81</f>
        <v>1000000</v>
      </c>
      <c r="F81" s="80">
        <v>1000000</v>
      </c>
      <c r="G81" s="80">
        <v>1000000</v>
      </c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0"/>
      <c r="U81" s="20"/>
      <c r="V81" s="20"/>
      <c r="W81" s="20"/>
      <c r="X81" s="20"/>
      <c r="Y81" s="20"/>
      <c r="Z81" s="20"/>
    </row>
    <row r="82" spans="1:26" ht="18">
      <c r="A82" s="81" t="s">
        <v>128</v>
      </c>
      <c r="B82" s="30"/>
      <c r="C82" s="38">
        <v>0</v>
      </c>
      <c r="D82" s="260">
        <v>0</v>
      </c>
      <c r="E82" s="38">
        <v>0</v>
      </c>
      <c r="F82" s="37">
        <v>2000000</v>
      </c>
      <c r="G82" s="37">
        <v>1000000</v>
      </c>
      <c r="H82" s="253"/>
      <c r="I82" s="253"/>
      <c r="J82" s="253"/>
      <c r="K82" s="253"/>
      <c r="L82" s="253"/>
      <c r="M82" s="253"/>
      <c r="N82" s="253"/>
      <c r="O82" s="253"/>
      <c r="P82" s="253"/>
      <c r="Q82" s="253"/>
      <c r="R82" s="253"/>
      <c r="S82" s="253"/>
      <c r="T82" s="20"/>
      <c r="U82" s="20"/>
      <c r="V82" s="20"/>
      <c r="W82" s="20"/>
      <c r="X82" s="20"/>
      <c r="Y82" s="20"/>
      <c r="Z82" s="20"/>
    </row>
    <row r="83" spans="1:26" ht="18">
      <c r="A83" s="81" t="s">
        <v>129</v>
      </c>
      <c r="B83" s="39"/>
      <c r="C83" s="38">
        <v>0</v>
      </c>
      <c r="D83" s="55">
        <v>8756166.9499999993</v>
      </c>
      <c r="E83" s="38">
        <v>0</v>
      </c>
      <c r="F83" s="80">
        <v>5000000</v>
      </c>
      <c r="G83" s="80">
        <v>3000000</v>
      </c>
      <c r="H83" s="253"/>
      <c r="I83" s="253"/>
      <c r="J83" s="253"/>
      <c r="K83" s="253"/>
      <c r="L83" s="253"/>
      <c r="M83" s="253"/>
      <c r="N83" s="253"/>
      <c r="O83" s="253"/>
      <c r="P83" s="253"/>
      <c r="Q83" s="253"/>
      <c r="R83" s="253"/>
      <c r="S83" s="253"/>
      <c r="T83" s="20"/>
      <c r="U83" s="20"/>
      <c r="V83" s="20"/>
      <c r="W83" s="20"/>
      <c r="X83" s="20"/>
      <c r="Y83" s="20"/>
      <c r="Z83" s="20"/>
    </row>
    <row r="84" spans="1:26" ht="17.45" customHeight="1">
      <c r="A84" s="82" t="s">
        <v>130</v>
      </c>
      <c r="B84" s="39"/>
      <c r="C84" s="38">
        <v>25000000</v>
      </c>
      <c r="D84" s="55">
        <v>23339150</v>
      </c>
      <c r="E84" s="38">
        <v>0</v>
      </c>
      <c r="F84" s="80">
        <f>40000000-20000000+9421437+706000</f>
        <v>30127437</v>
      </c>
      <c r="G84" s="80">
        <v>25000000</v>
      </c>
      <c r="H84" s="270">
        <v>4000000</v>
      </c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0"/>
      <c r="U84" s="20"/>
      <c r="V84" s="20"/>
      <c r="W84" s="20"/>
      <c r="X84" s="20"/>
      <c r="Y84" s="20"/>
      <c r="Z84" s="20"/>
    </row>
    <row r="85" spans="1:26" ht="36">
      <c r="A85" s="82" t="s">
        <v>131</v>
      </c>
      <c r="B85" s="39"/>
      <c r="C85" s="38">
        <v>961970</v>
      </c>
      <c r="D85" s="36">
        <v>1961388</v>
      </c>
      <c r="E85" s="36">
        <f>F85-D85</f>
        <v>38612</v>
      </c>
      <c r="F85" s="80">
        <f>4000000-2000000</f>
        <v>2000000</v>
      </c>
      <c r="G85" s="80">
        <v>2000000</v>
      </c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0"/>
      <c r="U85" s="20"/>
      <c r="V85" s="20"/>
      <c r="W85" s="20"/>
      <c r="X85" s="20"/>
      <c r="Y85" s="20"/>
      <c r="Z85" s="20"/>
    </row>
    <row r="86" spans="1:26" ht="18">
      <c r="A86" s="81" t="s">
        <v>132</v>
      </c>
      <c r="B86" s="39"/>
      <c r="C86" s="38"/>
      <c r="D86" s="38">
        <v>0</v>
      </c>
      <c r="E86" s="38">
        <v>0</v>
      </c>
      <c r="F86" s="80">
        <v>1000000</v>
      </c>
      <c r="G86" s="80">
        <v>1000000</v>
      </c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0"/>
      <c r="U86" s="20"/>
      <c r="V86" s="20"/>
      <c r="W86" s="20"/>
      <c r="X86" s="20"/>
      <c r="Y86" s="20"/>
      <c r="Z86" s="20"/>
    </row>
    <row r="87" spans="1:26" ht="36">
      <c r="A87" s="82" t="s">
        <v>133</v>
      </c>
      <c r="B87" s="39"/>
      <c r="C87" s="38"/>
      <c r="D87" s="38">
        <v>5000000</v>
      </c>
      <c r="E87" s="38">
        <v>0</v>
      </c>
      <c r="F87" s="80">
        <f>10000000-5000000</f>
        <v>5000000</v>
      </c>
      <c r="G87" s="80">
        <v>3000000</v>
      </c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0"/>
      <c r="U87" s="20"/>
      <c r="V87" s="20"/>
      <c r="W87" s="20"/>
      <c r="X87" s="20"/>
      <c r="Y87" s="20"/>
      <c r="Z87" s="20"/>
    </row>
    <row r="88" spans="1:26" ht="18">
      <c r="A88" s="81" t="s">
        <v>134</v>
      </c>
      <c r="B88" s="39"/>
      <c r="C88" s="264">
        <v>20000000</v>
      </c>
      <c r="D88" s="264">
        <v>5219160</v>
      </c>
      <c r="E88" s="264">
        <v>0</v>
      </c>
      <c r="F88" s="194">
        <v>3500000</v>
      </c>
      <c r="G88" s="194">
        <v>4200000</v>
      </c>
      <c r="H88" s="253"/>
      <c r="I88" s="253"/>
      <c r="J88" s="261"/>
      <c r="K88" s="253"/>
      <c r="L88" s="253"/>
      <c r="M88" s="253"/>
      <c r="N88" s="253"/>
      <c r="O88" s="253"/>
      <c r="P88" s="253"/>
      <c r="Q88" s="253"/>
      <c r="R88" s="253"/>
      <c r="S88" s="253"/>
      <c r="T88" s="20"/>
      <c r="U88" s="20"/>
      <c r="V88" s="20"/>
      <c r="W88" s="20"/>
      <c r="X88" s="20"/>
      <c r="Y88" s="20"/>
      <c r="Z88" s="20"/>
    </row>
    <row r="89" spans="1:26" ht="18">
      <c r="A89" s="81" t="s">
        <v>135</v>
      </c>
      <c r="B89" s="39"/>
      <c r="C89" s="264">
        <v>0</v>
      </c>
      <c r="D89" s="264">
        <v>0</v>
      </c>
      <c r="E89" s="264">
        <v>0</v>
      </c>
      <c r="F89" s="194">
        <f>5000000-1500000</f>
        <v>3500000</v>
      </c>
      <c r="G89" s="194">
        <v>1000000</v>
      </c>
      <c r="H89" s="253"/>
      <c r="I89" s="253"/>
      <c r="J89" s="253"/>
      <c r="K89" s="253"/>
      <c r="L89" s="253"/>
      <c r="M89" s="253"/>
      <c r="N89" s="253"/>
      <c r="O89" s="253"/>
      <c r="P89" s="253"/>
      <c r="Q89" s="253"/>
      <c r="R89" s="253"/>
      <c r="S89" s="253"/>
      <c r="T89" s="20"/>
      <c r="U89" s="20"/>
      <c r="V89" s="20"/>
      <c r="W89" s="20"/>
      <c r="X89" s="20"/>
      <c r="Y89" s="20"/>
      <c r="Z89" s="20"/>
    </row>
    <row r="90" spans="1:26" ht="18">
      <c r="A90" s="81" t="s">
        <v>136</v>
      </c>
      <c r="B90" s="39"/>
      <c r="C90" s="264">
        <v>0</v>
      </c>
      <c r="D90" s="264">
        <v>4577032.58</v>
      </c>
      <c r="E90" s="264">
        <v>0</v>
      </c>
      <c r="F90" s="194">
        <f>8000000-3000000</f>
        <v>5000000</v>
      </c>
      <c r="G90" s="194">
        <v>3000000</v>
      </c>
      <c r="H90" s="253"/>
      <c r="I90" s="253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0"/>
      <c r="U90" s="20"/>
      <c r="V90" s="20"/>
      <c r="W90" s="20"/>
      <c r="X90" s="20"/>
      <c r="Y90" s="20"/>
      <c r="Z90" s="20"/>
    </row>
    <row r="91" spans="1:26" ht="18">
      <c r="A91" s="81" t="s">
        <v>137</v>
      </c>
      <c r="B91" s="39"/>
      <c r="C91" s="38"/>
      <c r="D91" s="38">
        <v>854107.58</v>
      </c>
      <c r="E91" s="38">
        <v>0</v>
      </c>
      <c r="F91" s="80">
        <f>55000000-50000000</f>
        <v>5000000</v>
      </c>
      <c r="G91" s="80">
        <v>3000000</v>
      </c>
      <c r="H91" s="253"/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0"/>
      <c r="U91" s="20"/>
      <c r="V91" s="20"/>
      <c r="W91" s="20"/>
      <c r="X91" s="20"/>
      <c r="Y91" s="20"/>
      <c r="Z91" s="20"/>
    </row>
    <row r="92" spans="1:26" ht="18">
      <c r="A92" s="81" t="s">
        <v>138</v>
      </c>
      <c r="B92" s="39"/>
      <c r="C92" s="38"/>
      <c r="D92" s="38">
        <v>303732</v>
      </c>
      <c r="E92" s="38">
        <v>0</v>
      </c>
      <c r="F92" s="80">
        <f>5000000-2000000</f>
        <v>3000000</v>
      </c>
      <c r="G92" s="80">
        <v>2000000</v>
      </c>
      <c r="H92" s="253"/>
      <c r="I92" s="253"/>
      <c r="J92" s="253"/>
      <c r="K92" s="253"/>
      <c r="L92" s="253"/>
      <c r="M92" s="253"/>
      <c r="N92" s="253"/>
      <c r="O92" s="253"/>
      <c r="P92" s="253"/>
      <c r="Q92" s="253"/>
      <c r="R92" s="253"/>
      <c r="S92" s="253"/>
      <c r="T92" s="20"/>
      <c r="U92" s="20"/>
      <c r="V92" s="20"/>
      <c r="W92" s="20"/>
      <c r="X92" s="20"/>
      <c r="Y92" s="20"/>
      <c r="Z92" s="20"/>
    </row>
    <row r="93" spans="1:26" ht="36">
      <c r="A93" s="82" t="s">
        <v>139</v>
      </c>
      <c r="B93" s="39"/>
      <c r="C93" s="38">
        <v>2500000</v>
      </c>
      <c r="D93" s="97">
        <v>2239869.5</v>
      </c>
      <c r="E93" s="97">
        <v>0</v>
      </c>
      <c r="F93" s="80">
        <f>5000000-2000000</f>
        <v>3000000</v>
      </c>
      <c r="G93" s="80">
        <v>2000000</v>
      </c>
      <c r="H93" s="253"/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0"/>
      <c r="U93" s="20"/>
      <c r="V93" s="20"/>
      <c r="W93" s="20"/>
      <c r="X93" s="20"/>
      <c r="Y93" s="20"/>
      <c r="Z93" s="20"/>
    </row>
    <row r="94" spans="1:26" ht="18">
      <c r="A94" s="81" t="s">
        <v>140</v>
      </c>
      <c r="B94" s="39"/>
      <c r="C94" s="55"/>
      <c r="D94" s="38">
        <v>0</v>
      </c>
      <c r="E94" s="38">
        <v>0</v>
      </c>
      <c r="F94" s="80">
        <v>500000</v>
      </c>
      <c r="G94" s="80">
        <v>500000</v>
      </c>
      <c r="H94" s="253"/>
      <c r="I94" s="253"/>
      <c r="J94" s="253"/>
      <c r="K94" s="253"/>
      <c r="L94" s="253"/>
      <c r="M94" s="253"/>
      <c r="N94" s="253"/>
      <c r="O94" s="253"/>
      <c r="P94" s="253"/>
      <c r="Q94" s="253"/>
      <c r="R94" s="253"/>
      <c r="S94" s="253"/>
      <c r="T94" s="20"/>
      <c r="U94" s="20"/>
      <c r="V94" s="20"/>
      <c r="W94" s="20"/>
      <c r="X94" s="20"/>
      <c r="Y94" s="20"/>
      <c r="Z94" s="20"/>
    </row>
    <row r="95" spans="1:26" ht="18">
      <c r="A95" s="81" t="s">
        <v>141</v>
      </c>
      <c r="B95" s="39"/>
      <c r="C95" s="55">
        <v>500000</v>
      </c>
      <c r="D95" s="38">
        <v>0</v>
      </c>
      <c r="E95" s="38">
        <v>0</v>
      </c>
      <c r="F95" s="80">
        <v>500000</v>
      </c>
      <c r="G95" s="80">
        <v>500000</v>
      </c>
      <c r="H95" s="253"/>
      <c r="I95" s="253"/>
      <c r="J95" s="253"/>
      <c r="K95" s="253"/>
      <c r="L95" s="253"/>
      <c r="M95" s="253"/>
      <c r="N95" s="253"/>
      <c r="O95" s="253"/>
      <c r="P95" s="253"/>
      <c r="Q95" s="253"/>
      <c r="R95" s="253"/>
      <c r="S95" s="253"/>
      <c r="T95" s="20"/>
      <c r="U95" s="20"/>
      <c r="V95" s="20"/>
      <c r="W95" s="20"/>
      <c r="X95" s="20"/>
      <c r="Y95" s="20"/>
      <c r="Z95" s="20"/>
    </row>
    <row r="96" spans="1:26" ht="36">
      <c r="A96" s="82" t="s">
        <v>142</v>
      </c>
      <c r="B96" s="39"/>
      <c r="C96" s="56">
        <f>6000000+2000000</f>
        <v>8000000</v>
      </c>
      <c r="D96" s="38">
        <v>0</v>
      </c>
      <c r="E96" s="36">
        <f t="shared" ref="E96:E108" si="8">F96-D96</f>
        <v>3000000</v>
      </c>
      <c r="F96" s="80">
        <f>3500000-500000</f>
        <v>3000000</v>
      </c>
      <c r="G96" s="80">
        <v>3000000</v>
      </c>
      <c r="H96" s="253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0"/>
      <c r="U96" s="20"/>
      <c r="V96" s="20"/>
      <c r="W96" s="20"/>
      <c r="X96" s="20"/>
      <c r="Y96" s="20"/>
      <c r="Z96" s="20"/>
    </row>
    <row r="97" spans="1:26" ht="36">
      <c r="A97" s="82" t="s">
        <v>638</v>
      </c>
      <c r="B97" s="39"/>
      <c r="C97" s="38"/>
      <c r="D97" s="38"/>
      <c r="E97" s="38"/>
      <c r="F97" s="271"/>
      <c r="G97" s="271">
        <v>1000000</v>
      </c>
      <c r="H97" s="253"/>
      <c r="I97" s="253"/>
      <c r="J97" s="253"/>
      <c r="K97" s="253"/>
      <c r="L97" s="253"/>
      <c r="M97" s="253"/>
      <c r="N97" s="253"/>
      <c r="O97" s="253"/>
      <c r="P97" s="253"/>
      <c r="Q97" s="253"/>
      <c r="R97" s="253"/>
      <c r="S97" s="253"/>
      <c r="T97" s="20"/>
      <c r="U97" s="20"/>
      <c r="V97" s="20"/>
      <c r="W97" s="20"/>
      <c r="X97" s="20"/>
      <c r="Y97" s="20"/>
      <c r="Z97" s="20"/>
    </row>
    <row r="98" spans="1:26" ht="18">
      <c r="A98" s="81" t="s">
        <v>639</v>
      </c>
      <c r="B98" s="39"/>
      <c r="C98" s="271">
        <v>0</v>
      </c>
      <c r="D98" s="271">
        <v>0</v>
      </c>
      <c r="E98" s="271">
        <v>0</v>
      </c>
      <c r="F98" s="271">
        <v>0</v>
      </c>
      <c r="G98" s="271">
        <v>500000</v>
      </c>
      <c r="H98" s="253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0"/>
      <c r="U98" s="20"/>
      <c r="V98" s="20"/>
      <c r="W98" s="20"/>
      <c r="X98" s="20"/>
      <c r="Y98" s="20"/>
      <c r="Z98" s="20"/>
    </row>
    <row r="99" spans="1:26" ht="18">
      <c r="A99" s="81" t="s">
        <v>143</v>
      </c>
      <c r="B99" s="39"/>
      <c r="C99" s="56"/>
      <c r="D99" s="36">
        <v>2399994.9500000002</v>
      </c>
      <c r="E99" s="36">
        <f t="shared" si="8"/>
        <v>2831255.05</v>
      </c>
      <c r="F99" s="80">
        <f>6975000-1743750</f>
        <v>5231250</v>
      </c>
      <c r="G99" s="80">
        <v>8550000</v>
      </c>
      <c r="H99" s="272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0"/>
      <c r="U99" s="20"/>
      <c r="V99" s="20"/>
      <c r="W99" s="20"/>
      <c r="X99" s="20"/>
      <c r="Y99" s="20"/>
      <c r="Z99" s="20"/>
    </row>
    <row r="100" spans="1:26" ht="18">
      <c r="A100" s="81" t="s">
        <v>144</v>
      </c>
      <c r="B100" s="39"/>
      <c r="C100" s="56"/>
      <c r="D100" s="36">
        <v>303332.89</v>
      </c>
      <c r="E100" s="38">
        <f t="shared" si="8"/>
        <v>898167.11</v>
      </c>
      <c r="F100" s="80">
        <f>1602000-400500</f>
        <v>1201500</v>
      </c>
      <c r="G100" s="80">
        <v>1584000</v>
      </c>
      <c r="H100" s="272"/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0"/>
      <c r="U100" s="20"/>
      <c r="V100" s="20"/>
      <c r="W100" s="20"/>
      <c r="X100" s="20"/>
      <c r="Y100" s="20"/>
      <c r="Z100" s="20"/>
    </row>
    <row r="101" spans="1:26" ht="18">
      <c r="A101" s="81" t="s">
        <v>145</v>
      </c>
      <c r="B101" s="39"/>
      <c r="C101" s="56"/>
      <c r="D101" s="36">
        <v>493500</v>
      </c>
      <c r="E101" s="36">
        <f t="shared" si="8"/>
        <v>330000</v>
      </c>
      <c r="F101" s="80">
        <f>1098000-274500</f>
        <v>823500</v>
      </c>
      <c r="G101" s="80">
        <v>2808000</v>
      </c>
      <c r="H101" s="272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0"/>
      <c r="U101" s="20"/>
      <c r="V101" s="20"/>
      <c r="W101" s="20"/>
      <c r="X101" s="20"/>
      <c r="Y101" s="20"/>
      <c r="Z101" s="20"/>
    </row>
    <row r="102" spans="1:26" ht="18">
      <c r="A102" s="81" t="s">
        <v>146</v>
      </c>
      <c r="B102" s="39"/>
      <c r="C102" s="56"/>
      <c r="D102" s="36">
        <v>17227289.48</v>
      </c>
      <c r="E102" s="36">
        <f t="shared" si="8"/>
        <v>3022710.5199999996</v>
      </c>
      <c r="F102" s="80">
        <f>27000000-6750000</f>
        <v>20250000</v>
      </c>
      <c r="G102" s="80">
        <v>25000000</v>
      </c>
      <c r="H102" s="272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0"/>
      <c r="U102" s="20"/>
      <c r="V102" s="20"/>
      <c r="W102" s="20"/>
      <c r="X102" s="20"/>
      <c r="Y102" s="20"/>
      <c r="Z102" s="20"/>
    </row>
    <row r="103" spans="1:26" ht="18">
      <c r="A103" s="81" t="s">
        <v>147</v>
      </c>
      <c r="B103" s="39"/>
      <c r="C103" s="56"/>
      <c r="D103" s="36">
        <v>995000</v>
      </c>
      <c r="E103" s="36">
        <f t="shared" si="8"/>
        <v>940000</v>
      </c>
      <c r="F103" s="80">
        <f>2580000-645000</f>
        <v>1935000</v>
      </c>
      <c r="G103" s="80">
        <v>2580000</v>
      </c>
      <c r="H103" s="272"/>
      <c r="I103" s="253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0"/>
      <c r="U103" s="20"/>
      <c r="V103" s="20"/>
      <c r="W103" s="20"/>
      <c r="X103" s="20"/>
      <c r="Y103" s="20"/>
      <c r="Z103" s="20"/>
    </row>
    <row r="104" spans="1:26" ht="18">
      <c r="A104" s="81" t="s">
        <v>148</v>
      </c>
      <c r="B104" s="39"/>
      <c r="C104" s="56"/>
      <c r="D104" s="36">
        <v>1170000</v>
      </c>
      <c r="E104" s="36">
        <f t="shared" si="8"/>
        <v>358875</v>
      </c>
      <c r="F104" s="80">
        <f>2038500-509625</f>
        <v>1528875</v>
      </c>
      <c r="G104" s="80">
        <v>2038500</v>
      </c>
      <c r="H104" s="272"/>
      <c r="I104" s="253"/>
      <c r="J104" s="253"/>
      <c r="K104" s="253"/>
      <c r="L104" s="253"/>
      <c r="M104" s="253"/>
      <c r="N104" s="253"/>
      <c r="O104" s="253"/>
      <c r="P104" s="253"/>
      <c r="Q104" s="253"/>
      <c r="R104" s="253"/>
      <c r="S104" s="253"/>
      <c r="T104" s="20"/>
      <c r="U104" s="20"/>
      <c r="V104" s="20"/>
      <c r="W104" s="20"/>
      <c r="X104" s="20"/>
      <c r="Y104" s="20"/>
      <c r="Z104" s="20"/>
    </row>
    <row r="105" spans="1:26" ht="18">
      <c r="A105" s="81" t="s">
        <v>149</v>
      </c>
      <c r="B105" s="39"/>
      <c r="C105" s="56"/>
      <c r="D105" s="36">
        <v>357000</v>
      </c>
      <c r="E105" s="36">
        <f t="shared" si="8"/>
        <v>84000</v>
      </c>
      <c r="F105" s="80">
        <v>441000</v>
      </c>
      <c r="G105" s="80">
        <v>441000</v>
      </c>
      <c r="H105" s="272"/>
      <c r="I105" s="253"/>
      <c r="J105" s="253"/>
      <c r="K105" s="253"/>
      <c r="L105" s="253"/>
      <c r="M105" s="253"/>
      <c r="N105" s="253"/>
      <c r="O105" s="253"/>
      <c r="P105" s="253"/>
      <c r="Q105" s="253"/>
      <c r="R105" s="253"/>
      <c r="S105" s="253"/>
      <c r="T105" s="20"/>
      <c r="U105" s="20"/>
      <c r="V105" s="20"/>
      <c r="W105" s="20"/>
      <c r="X105" s="20"/>
      <c r="Y105" s="20"/>
      <c r="Z105" s="20"/>
    </row>
    <row r="106" spans="1:26" ht="18">
      <c r="A106" s="81" t="s">
        <v>150</v>
      </c>
      <c r="B106" s="39"/>
      <c r="C106" s="56"/>
      <c r="D106" s="38">
        <v>0</v>
      </c>
      <c r="E106" s="36">
        <f t="shared" si="8"/>
        <v>144000</v>
      </c>
      <c r="F106" s="80">
        <v>144000</v>
      </c>
      <c r="G106" s="80">
        <v>144000</v>
      </c>
      <c r="H106" s="272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0"/>
      <c r="U106" s="20"/>
      <c r="V106" s="20"/>
      <c r="W106" s="20"/>
      <c r="X106" s="20"/>
      <c r="Y106" s="20"/>
      <c r="Z106" s="20"/>
    </row>
    <row r="107" spans="1:26" ht="18">
      <c r="A107" s="81" t="s">
        <v>151</v>
      </c>
      <c r="B107" s="39"/>
      <c r="C107" s="56"/>
      <c r="D107" s="36">
        <v>114000</v>
      </c>
      <c r="E107" s="36">
        <f t="shared" si="8"/>
        <v>126000</v>
      </c>
      <c r="F107" s="80">
        <v>240000</v>
      </c>
      <c r="G107" s="80">
        <v>300000</v>
      </c>
      <c r="H107" s="272"/>
      <c r="I107" s="253"/>
      <c r="J107" s="253"/>
      <c r="K107" s="253"/>
      <c r="L107" s="253"/>
      <c r="M107" s="253"/>
      <c r="N107" s="253"/>
      <c r="O107" s="253"/>
      <c r="P107" s="253"/>
      <c r="Q107" s="253"/>
      <c r="R107" s="253"/>
      <c r="S107" s="253"/>
      <c r="T107" s="20"/>
      <c r="U107" s="20"/>
      <c r="V107" s="20"/>
      <c r="W107" s="20"/>
      <c r="X107" s="20"/>
      <c r="Y107" s="20"/>
      <c r="Z107" s="20"/>
    </row>
    <row r="108" spans="1:26" ht="18">
      <c r="A108" s="81" t="s">
        <v>152</v>
      </c>
      <c r="B108" s="39"/>
      <c r="C108" s="56"/>
      <c r="D108" s="38">
        <v>20796</v>
      </c>
      <c r="E108" s="36">
        <f t="shared" si="8"/>
        <v>279204</v>
      </c>
      <c r="F108" s="80">
        <v>300000</v>
      </c>
      <c r="G108" s="80">
        <v>300000</v>
      </c>
      <c r="H108" s="272"/>
      <c r="I108" s="253"/>
      <c r="J108" s="253"/>
      <c r="K108" s="253"/>
      <c r="L108" s="253"/>
      <c r="M108" s="253"/>
      <c r="N108" s="253"/>
      <c r="O108" s="253"/>
      <c r="P108" s="253"/>
      <c r="Q108" s="253"/>
      <c r="R108" s="253"/>
      <c r="S108" s="253"/>
      <c r="T108" s="20"/>
      <c r="U108" s="20"/>
      <c r="V108" s="20"/>
      <c r="W108" s="20"/>
      <c r="X108" s="20"/>
      <c r="Y108" s="20"/>
      <c r="Z108" s="20"/>
    </row>
    <row r="109" spans="1:26" ht="18">
      <c r="A109" s="81" t="s">
        <v>155</v>
      </c>
      <c r="B109" s="39"/>
      <c r="C109" s="55">
        <v>1000000</v>
      </c>
      <c r="D109" s="271">
        <v>0</v>
      </c>
      <c r="E109" s="271">
        <v>0</v>
      </c>
      <c r="F109" s="271">
        <v>0</v>
      </c>
      <c r="G109" s="271">
        <v>0</v>
      </c>
      <c r="H109" s="272"/>
      <c r="I109" s="253"/>
      <c r="J109" s="253"/>
      <c r="K109" s="253"/>
      <c r="L109" s="253"/>
      <c r="M109" s="253"/>
      <c r="N109" s="253"/>
      <c r="O109" s="253"/>
      <c r="P109" s="253"/>
      <c r="Q109" s="253"/>
      <c r="R109" s="253"/>
      <c r="S109" s="253"/>
      <c r="T109" s="20"/>
      <c r="U109" s="20"/>
      <c r="V109" s="20"/>
      <c r="W109" s="20"/>
      <c r="X109" s="20"/>
      <c r="Y109" s="20"/>
      <c r="Z109" s="20"/>
    </row>
    <row r="110" spans="1:26" ht="18">
      <c r="A110" s="81" t="s">
        <v>161</v>
      </c>
      <c r="B110" s="39"/>
      <c r="C110" s="55">
        <v>5000000</v>
      </c>
      <c r="D110" s="271">
        <v>0</v>
      </c>
      <c r="E110" s="271">
        <v>0</v>
      </c>
      <c r="F110" s="271">
        <v>0</v>
      </c>
      <c r="G110" s="271">
        <v>0</v>
      </c>
      <c r="H110" s="272"/>
      <c r="I110" s="253"/>
      <c r="J110" s="253"/>
      <c r="K110" s="253"/>
      <c r="L110" s="253"/>
      <c r="M110" s="253"/>
      <c r="N110" s="253"/>
      <c r="O110" s="253"/>
      <c r="P110" s="253"/>
      <c r="Q110" s="253"/>
      <c r="R110" s="253"/>
      <c r="S110" s="253"/>
      <c r="T110" s="20"/>
      <c r="U110" s="20"/>
      <c r="V110" s="20"/>
      <c r="W110" s="20"/>
      <c r="X110" s="20"/>
      <c r="Y110" s="20"/>
      <c r="Z110" s="20"/>
    </row>
    <row r="111" spans="1:26" ht="18">
      <c r="A111" s="81" t="s">
        <v>640</v>
      </c>
      <c r="B111" s="39"/>
      <c r="C111" s="55">
        <v>355000</v>
      </c>
      <c r="D111" s="271">
        <v>0</v>
      </c>
      <c r="E111" s="271">
        <v>0</v>
      </c>
      <c r="F111" s="271">
        <v>0</v>
      </c>
      <c r="G111" s="271">
        <v>0</v>
      </c>
      <c r="H111" s="272"/>
      <c r="I111" s="253"/>
      <c r="J111" s="253"/>
      <c r="K111" s="253"/>
      <c r="L111" s="253"/>
      <c r="M111" s="253"/>
      <c r="N111" s="253"/>
      <c r="O111" s="253"/>
      <c r="P111" s="253"/>
      <c r="Q111" s="253"/>
      <c r="R111" s="253"/>
      <c r="S111" s="253"/>
      <c r="T111" s="20"/>
      <c r="U111" s="20"/>
      <c r="V111" s="20"/>
      <c r="W111" s="20"/>
      <c r="X111" s="20"/>
      <c r="Y111" s="20"/>
      <c r="Z111" s="20"/>
    </row>
    <row r="112" spans="1:26" ht="36">
      <c r="A112" s="82" t="s">
        <v>154</v>
      </c>
      <c r="B112" s="39"/>
      <c r="C112" s="55">
        <v>1000000</v>
      </c>
      <c r="D112" s="271">
        <v>0</v>
      </c>
      <c r="E112" s="271">
        <v>0</v>
      </c>
      <c r="F112" s="271">
        <v>0</v>
      </c>
      <c r="G112" s="271">
        <v>0</v>
      </c>
      <c r="H112" s="272"/>
      <c r="I112" s="253"/>
      <c r="J112" s="253"/>
      <c r="K112" s="253"/>
      <c r="L112" s="253"/>
      <c r="M112" s="253"/>
      <c r="N112" s="253"/>
      <c r="O112" s="253"/>
      <c r="P112" s="253"/>
      <c r="Q112" s="253"/>
      <c r="R112" s="253"/>
      <c r="S112" s="253"/>
      <c r="T112" s="20"/>
      <c r="U112" s="20"/>
      <c r="V112" s="20"/>
      <c r="W112" s="20"/>
      <c r="X112" s="20"/>
      <c r="Y112" s="20"/>
      <c r="Z112" s="20"/>
    </row>
    <row r="113" spans="1:26" ht="18">
      <c r="A113" s="81" t="s">
        <v>156</v>
      </c>
      <c r="B113" s="39"/>
      <c r="C113" s="55">
        <v>1000000</v>
      </c>
      <c r="D113" s="271">
        <v>0</v>
      </c>
      <c r="E113" s="271">
        <v>0</v>
      </c>
      <c r="F113" s="271">
        <v>0</v>
      </c>
      <c r="G113" s="271">
        <v>0</v>
      </c>
      <c r="H113" s="272"/>
      <c r="I113" s="273" t="e">
        <v>#REF!</v>
      </c>
      <c r="J113" s="253"/>
      <c r="K113" s="253"/>
      <c r="L113" s="253"/>
      <c r="M113" s="253"/>
      <c r="N113" s="253"/>
      <c r="O113" s="253"/>
      <c r="P113" s="253"/>
      <c r="Q113" s="253"/>
      <c r="R113" s="253"/>
      <c r="S113" s="253"/>
      <c r="T113" s="20"/>
      <c r="U113" s="20"/>
      <c r="V113" s="20"/>
      <c r="W113" s="20"/>
      <c r="X113" s="20"/>
      <c r="Y113" s="20"/>
      <c r="Z113" s="20"/>
    </row>
    <row r="114" spans="1:26" ht="18">
      <c r="A114" s="81" t="s">
        <v>157</v>
      </c>
      <c r="B114" s="39"/>
      <c r="C114" s="38">
        <v>1000000</v>
      </c>
      <c r="D114" s="271">
        <v>0</v>
      </c>
      <c r="E114" s="271">
        <v>0</v>
      </c>
      <c r="F114" s="271">
        <v>0</v>
      </c>
      <c r="G114" s="271">
        <v>0</v>
      </c>
      <c r="H114" s="272"/>
      <c r="I114" s="253"/>
      <c r="J114" s="253"/>
      <c r="K114" s="253"/>
      <c r="L114" s="253"/>
      <c r="M114" s="253"/>
      <c r="N114" s="253"/>
      <c r="O114" s="253"/>
      <c r="P114" s="253"/>
      <c r="Q114" s="253"/>
      <c r="R114" s="253"/>
      <c r="S114" s="253"/>
      <c r="T114" s="20"/>
      <c r="U114" s="20"/>
      <c r="V114" s="20"/>
      <c r="W114" s="20"/>
      <c r="X114" s="20"/>
      <c r="Y114" s="20"/>
      <c r="Z114" s="20"/>
    </row>
    <row r="115" spans="1:26" ht="18">
      <c r="A115" s="81" t="s">
        <v>158</v>
      </c>
      <c r="B115" s="39"/>
      <c r="C115" s="38">
        <v>4500000</v>
      </c>
      <c r="D115" s="271">
        <v>0</v>
      </c>
      <c r="E115" s="271">
        <v>0</v>
      </c>
      <c r="F115" s="271">
        <v>0</v>
      </c>
      <c r="G115" s="271">
        <v>0</v>
      </c>
      <c r="H115" s="272"/>
      <c r="I115" s="253"/>
      <c r="J115" s="253"/>
      <c r="K115" s="253"/>
      <c r="L115" s="253"/>
      <c r="M115" s="253"/>
      <c r="N115" s="253"/>
      <c r="O115" s="253"/>
      <c r="P115" s="253"/>
      <c r="Q115" s="253"/>
      <c r="R115" s="253"/>
      <c r="S115" s="253"/>
      <c r="T115" s="20"/>
      <c r="U115" s="20"/>
      <c r="V115" s="20"/>
      <c r="W115" s="20"/>
      <c r="X115" s="20"/>
      <c r="Y115" s="20"/>
      <c r="Z115" s="20"/>
    </row>
    <row r="116" spans="1:26" ht="36">
      <c r="A116" s="82" t="s">
        <v>159</v>
      </c>
      <c r="B116" s="30"/>
      <c r="C116" s="38">
        <v>500000</v>
      </c>
      <c r="D116" s="271">
        <v>0</v>
      </c>
      <c r="E116" s="271">
        <v>0</v>
      </c>
      <c r="F116" s="271">
        <v>0</v>
      </c>
      <c r="G116" s="271">
        <v>0</v>
      </c>
      <c r="H116" s="272"/>
      <c r="I116" s="253"/>
      <c r="J116" s="253"/>
      <c r="K116" s="253"/>
      <c r="L116" s="253"/>
      <c r="M116" s="253"/>
      <c r="N116" s="253"/>
      <c r="O116" s="253"/>
      <c r="P116" s="253"/>
      <c r="Q116" s="253"/>
      <c r="R116" s="253"/>
      <c r="S116" s="253"/>
      <c r="T116" s="20"/>
      <c r="U116" s="20"/>
      <c r="V116" s="20"/>
      <c r="W116" s="20"/>
      <c r="X116" s="20"/>
      <c r="Y116" s="20"/>
      <c r="Z116" s="20"/>
    </row>
    <row r="117" spans="1:26" ht="18">
      <c r="A117" s="81" t="s">
        <v>153</v>
      </c>
      <c r="B117" s="115"/>
      <c r="C117" s="38">
        <v>5842180.7999999998</v>
      </c>
      <c r="D117" s="271">
        <v>0</v>
      </c>
      <c r="E117" s="271">
        <v>0</v>
      </c>
      <c r="F117" s="271">
        <v>0</v>
      </c>
      <c r="G117" s="271">
        <v>0</v>
      </c>
      <c r="H117" s="272"/>
      <c r="I117" s="253"/>
      <c r="J117" s="253"/>
      <c r="K117" s="253"/>
      <c r="L117" s="253"/>
      <c r="M117" s="253"/>
      <c r="N117" s="253"/>
      <c r="O117" s="253"/>
      <c r="P117" s="253"/>
      <c r="Q117" s="253"/>
      <c r="R117" s="253"/>
      <c r="S117" s="253"/>
      <c r="T117" s="20"/>
      <c r="U117" s="20"/>
      <c r="V117" s="20"/>
      <c r="W117" s="20"/>
      <c r="X117" s="20"/>
      <c r="Y117" s="20"/>
      <c r="Z117" s="20"/>
    </row>
    <row r="118" spans="1:26" ht="36">
      <c r="A118" s="82" t="s">
        <v>641</v>
      </c>
      <c r="B118" s="115"/>
      <c r="C118" s="38">
        <v>5000000</v>
      </c>
      <c r="D118" s="271">
        <v>0</v>
      </c>
      <c r="E118" s="271">
        <v>0</v>
      </c>
      <c r="F118" s="271">
        <v>0</v>
      </c>
      <c r="G118" s="271">
        <v>0</v>
      </c>
      <c r="H118" s="272"/>
      <c r="I118" s="253"/>
      <c r="J118" s="253"/>
      <c r="K118" s="253"/>
      <c r="L118" s="253"/>
      <c r="M118" s="253"/>
      <c r="N118" s="253"/>
      <c r="O118" s="253"/>
      <c r="P118" s="253"/>
      <c r="Q118" s="253"/>
      <c r="R118" s="253"/>
      <c r="S118" s="253"/>
      <c r="T118" s="20"/>
      <c r="U118" s="20"/>
      <c r="V118" s="20"/>
      <c r="W118" s="20"/>
      <c r="X118" s="20"/>
      <c r="Y118" s="20"/>
      <c r="Z118" s="20"/>
    </row>
    <row r="119" spans="1:26" ht="36">
      <c r="A119" s="82" t="s">
        <v>642</v>
      </c>
      <c r="B119" s="115"/>
      <c r="C119" s="38">
        <v>1000000</v>
      </c>
      <c r="D119" s="271">
        <v>0</v>
      </c>
      <c r="E119" s="271">
        <v>0</v>
      </c>
      <c r="F119" s="271">
        <v>0</v>
      </c>
      <c r="G119" s="271">
        <v>0</v>
      </c>
      <c r="H119" s="272"/>
      <c r="I119" s="253"/>
      <c r="J119" s="253"/>
      <c r="K119" s="253"/>
      <c r="L119" s="253"/>
      <c r="M119" s="253"/>
      <c r="N119" s="253"/>
      <c r="O119" s="253"/>
      <c r="P119" s="253"/>
      <c r="Q119" s="253"/>
      <c r="R119" s="253"/>
      <c r="S119" s="253"/>
      <c r="T119" s="20"/>
      <c r="U119" s="20"/>
      <c r="V119" s="20"/>
      <c r="W119" s="20"/>
      <c r="X119" s="20"/>
      <c r="Y119" s="20"/>
      <c r="Z119" s="20"/>
    </row>
    <row r="120" spans="1:26" ht="18.75" thickBot="1">
      <c r="A120" s="82" t="s">
        <v>160</v>
      </c>
      <c r="B120" s="39"/>
      <c r="C120" s="38">
        <v>1999555.56</v>
      </c>
      <c r="D120" s="271">
        <v>0</v>
      </c>
      <c r="E120" s="271">
        <v>0</v>
      </c>
      <c r="F120" s="271">
        <v>0</v>
      </c>
      <c r="G120" s="271">
        <v>0</v>
      </c>
      <c r="H120" s="272"/>
      <c r="I120" s="253"/>
      <c r="J120" s="253"/>
      <c r="K120" s="253"/>
      <c r="L120" s="253"/>
      <c r="M120" s="253"/>
      <c r="N120" s="253"/>
      <c r="O120" s="253"/>
      <c r="P120" s="253"/>
      <c r="Q120" s="253"/>
      <c r="R120" s="253"/>
      <c r="S120" s="253"/>
      <c r="T120" s="20"/>
      <c r="U120" s="20"/>
      <c r="V120" s="20"/>
      <c r="W120" s="20"/>
      <c r="X120" s="20"/>
      <c r="Y120" s="20"/>
      <c r="Z120" s="20"/>
    </row>
    <row r="121" spans="1:26" ht="19.5" thickTop="1" thickBot="1">
      <c r="A121" s="50" t="s">
        <v>162</v>
      </c>
      <c r="B121" s="58"/>
      <c r="C121" s="52">
        <f>SUM(C36:C120)</f>
        <v>301752899.89999998</v>
      </c>
      <c r="D121" s="52">
        <f>SUM(D36:D120)</f>
        <v>113055269.42</v>
      </c>
      <c r="E121" s="52">
        <f>SUM(E36:E120)</f>
        <v>107317799.59999999</v>
      </c>
      <c r="F121" s="52">
        <f>SUM(F36:F120)</f>
        <v>255194849.11000001</v>
      </c>
      <c r="G121" s="52">
        <f>SUM(G36:G120)</f>
        <v>235630322.78999999</v>
      </c>
      <c r="H121" s="274"/>
      <c r="I121" s="275"/>
      <c r="J121" s="272"/>
      <c r="K121" s="259"/>
      <c r="L121" s="253"/>
      <c r="M121" s="253"/>
      <c r="N121" s="253"/>
      <c r="O121" s="253"/>
      <c r="P121" s="253"/>
      <c r="Q121" s="253"/>
      <c r="R121" s="253"/>
      <c r="S121" s="253"/>
      <c r="T121" s="20"/>
      <c r="U121" s="20"/>
      <c r="V121" s="20"/>
      <c r="W121" s="20"/>
      <c r="X121" s="20"/>
      <c r="Y121" s="20"/>
      <c r="Z121" s="20"/>
    </row>
    <row r="122" spans="1:26" ht="19.5" thickTop="1" thickBot="1">
      <c r="A122" s="276"/>
      <c r="B122" s="149"/>
      <c r="C122" s="277"/>
      <c r="D122" s="277"/>
      <c r="E122" s="277"/>
      <c r="F122" s="277"/>
      <c r="G122" s="278"/>
      <c r="H122" s="272"/>
      <c r="I122" s="275"/>
      <c r="J122" s="272"/>
      <c r="K122" s="253"/>
      <c r="L122" s="253"/>
      <c r="M122" s="253"/>
      <c r="N122" s="253"/>
      <c r="O122" s="253"/>
      <c r="P122" s="253"/>
      <c r="Q122" s="253"/>
      <c r="R122" s="253"/>
      <c r="S122" s="253"/>
      <c r="T122" s="20"/>
      <c r="U122" s="20"/>
      <c r="V122" s="20"/>
      <c r="W122" s="20"/>
      <c r="X122" s="20"/>
      <c r="Y122" s="20"/>
      <c r="Z122" s="20"/>
    </row>
    <row r="123" spans="1:26" ht="18.75" thickTop="1">
      <c r="A123" s="27" t="s">
        <v>163</v>
      </c>
      <c r="B123" s="279"/>
      <c r="C123" s="216"/>
      <c r="D123" s="216"/>
      <c r="E123" s="216"/>
      <c r="F123" s="280"/>
      <c r="G123" s="218"/>
      <c r="H123" s="253"/>
      <c r="I123" s="253"/>
      <c r="J123" s="253"/>
      <c r="K123" s="253"/>
      <c r="L123" s="253"/>
      <c r="M123" s="253"/>
      <c r="N123" s="253"/>
      <c r="O123" s="253"/>
      <c r="P123" s="253"/>
      <c r="Q123" s="253"/>
      <c r="R123" s="253"/>
      <c r="S123" s="253"/>
      <c r="T123" s="20"/>
      <c r="U123" s="20"/>
      <c r="V123" s="20"/>
      <c r="W123" s="20"/>
      <c r="X123" s="20"/>
      <c r="Y123" s="20"/>
      <c r="Z123" s="20"/>
    </row>
    <row r="124" spans="1:26" ht="18">
      <c r="A124" s="251" t="s">
        <v>167</v>
      </c>
      <c r="B124" s="209" t="s">
        <v>168</v>
      </c>
      <c r="C124" s="38"/>
      <c r="D124" s="38"/>
      <c r="E124" s="36"/>
      <c r="F124" s="36"/>
      <c r="G124" s="57"/>
      <c r="H124" s="253"/>
      <c r="I124" s="281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0"/>
      <c r="U124" s="20"/>
      <c r="V124" s="20"/>
      <c r="W124" s="20"/>
      <c r="X124" s="20"/>
      <c r="Y124" s="20"/>
      <c r="Z124" s="20"/>
    </row>
    <row r="125" spans="1:26" ht="18.75" thickBot="1">
      <c r="A125" s="251" t="s">
        <v>169</v>
      </c>
      <c r="B125" s="209" t="s">
        <v>170</v>
      </c>
      <c r="C125" s="38"/>
      <c r="D125" s="36"/>
      <c r="E125" s="36"/>
      <c r="F125" s="73"/>
      <c r="G125" s="57"/>
      <c r="H125" s="253"/>
      <c r="I125" s="253"/>
      <c r="J125" s="253"/>
      <c r="K125" s="253"/>
      <c r="L125" s="253"/>
      <c r="M125" s="253"/>
      <c r="N125" s="253"/>
      <c r="O125" s="253"/>
      <c r="P125" s="253"/>
      <c r="Q125" s="253"/>
      <c r="R125" s="253"/>
      <c r="S125" s="253"/>
      <c r="T125" s="20"/>
      <c r="U125" s="20"/>
      <c r="V125" s="20"/>
      <c r="W125" s="20"/>
      <c r="X125" s="20"/>
      <c r="Y125" s="20"/>
      <c r="Z125" s="20"/>
    </row>
    <row r="126" spans="1:26" ht="19.5" thickTop="1" thickBot="1">
      <c r="A126" s="50" t="s">
        <v>171</v>
      </c>
      <c r="B126" s="58"/>
      <c r="C126" s="59">
        <f>SUM(C107:C125)</f>
        <v>329949636.25999999</v>
      </c>
      <c r="D126" s="52">
        <f>SUM(D107:D125)</f>
        <v>113190065.42</v>
      </c>
      <c r="E126" s="52">
        <f>SUM(E107:E125)</f>
        <v>107723003.59999999</v>
      </c>
      <c r="F126" s="52">
        <f>SUM(F107:F125)</f>
        <v>255734849.11000001</v>
      </c>
      <c r="G126" s="59">
        <f>SUM(G124:G125)</f>
        <v>0</v>
      </c>
      <c r="H126" s="253"/>
      <c r="I126" s="253"/>
      <c r="J126" s="253"/>
      <c r="K126" s="253"/>
      <c r="L126" s="253"/>
      <c r="M126" s="253"/>
      <c r="N126" s="253"/>
      <c r="O126" s="253"/>
      <c r="P126" s="253"/>
      <c r="Q126" s="253"/>
      <c r="R126" s="253"/>
      <c r="S126" s="253"/>
      <c r="T126" s="20"/>
      <c r="U126" s="20"/>
      <c r="V126" s="20"/>
      <c r="W126" s="20"/>
      <c r="X126" s="20"/>
      <c r="Y126" s="20"/>
      <c r="Z126" s="20"/>
    </row>
    <row r="127" spans="1:26" ht="18.75" thickTop="1">
      <c r="A127" s="282" t="s">
        <v>172</v>
      </c>
      <c r="B127" s="283"/>
      <c r="C127" s="284"/>
      <c r="D127" s="284"/>
      <c r="E127" s="284"/>
      <c r="F127" s="284"/>
      <c r="G127" s="285"/>
      <c r="H127" s="253"/>
      <c r="I127" s="253"/>
      <c r="J127" s="253"/>
      <c r="K127" s="253"/>
      <c r="L127" s="253"/>
      <c r="M127" s="253"/>
      <c r="N127" s="253"/>
      <c r="O127" s="253"/>
      <c r="P127" s="253"/>
      <c r="Q127" s="253"/>
      <c r="R127" s="253"/>
      <c r="S127" s="253"/>
      <c r="T127" s="20"/>
      <c r="U127" s="20"/>
      <c r="V127" s="20"/>
      <c r="W127" s="20"/>
      <c r="X127" s="20"/>
      <c r="Y127" s="20"/>
      <c r="Z127" s="20"/>
    </row>
    <row r="128" spans="1:26" ht="36">
      <c r="A128" s="95" t="s">
        <v>173</v>
      </c>
      <c r="B128" s="33"/>
      <c r="C128" s="36"/>
      <c r="D128" s="36"/>
      <c r="E128" s="36"/>
      <c r="F128" s="36"/>
      <c r="G128" s="84">
        <v>287270933</v>
      </c>
      <c r="H128" s="253"/>
      <c r="I128" s="253"/>
      <c r="J128" s="253"/>
      <c r="K128" s="253"/>
      <c r="L128" s="253"/>
      <c r="M128" s="253"/>
      <c r="N128" s="253"/>
      <c r="O128" s="253"/>
      <c r="P128" s="253"/>
      <c r="Q128" s="253"/>
      <c r="R128" s="253"/>
      <c r="S128" s="253"/>
      <c r="T128" s="20"/>
      <c r="U128" s="20"/>
      <c r="V128" s="20"/>
      <c r="W128" s="20"/>
      <c r="X128" s="20"/>
      <c r="Y128" s="20"/>
      <c r="Z128" s="20"/>
    </row>
    <row r="129" spans="1:26" ht="18">
      <c r="A129" s="35" t="s">
        <v>174</v>
      </c>
      <c r="B129" s="33"/>
      <c r="C129" s="36" t="s">
        <v>175</v>
      </c>
      <c r="D129" s="36"/>
      <c r="E129" s="36"/>
      <c r="F129" s="36"/>
      <c r="G129" s="84">
        <v>436932337.31</v>
      </c>
      <c r="H129" s="253"/>
      <c r="I129" s="253"/>
      <c r="J129" s="253"/>
      <c r="K129" s="253"/>
      <c r="L129" s="253"/>
      <c r="M129" s="253"/>
      <c r="N129" s="253"/>
      <c r="O129" s="253"/>
      <c r="P129" s="253"/>
      <c r="Q129" s="253"/>
      <c r="R129" s="253"/>
      <c r="S129" s="253"/>
      <c r="T129" s="20"/>
      <c r="U129" s="20"/>
      <c r="V129" s="20"/>
      <c r="W129" s="20"/>
      <c r="X129" s="20"/>
      <c r="Y129" s="20"/>
      <c r="Z129" s="20"/>
    </row>
    <row r="130" spans="1:26" ht="18.75" thickBot="1">
      <c r="A130" s="286" t="s">
        <v>176</v>
      </c>
      <c r="B130" s="287"/>
      <c r="C130" s="288"/>
      <c r="D130" s="288"/>
      <c r="E130" s="288"/>
      <c r="F130" s="288"/>
      <c r="G130" s="289">
        <v>1050000</v>
      </c>
      <c r="H130" s="253"/>
      <c r="I130" s="253"/>
      <c r="J130" s="253"/>
      <c r="K130" s="253"/>
      <c r="L130" s="253"/>
      <c r="M130" s="253"/>
      <c r="N130" s="253"/>
      <c r="O130" s="253"/>
      <c r="P130" s="253"/>
      <c r="Q130" s="253"/>
      <c r="R130" s="253"/>
      <c r="S130" s="253"/>
      <c r="T130" s="20"/>
      <c r="U130" s="20"/>
      <c r="V130" s="20"/>
      <c r="W130" s="20"/>
      <c r="X130" s="20"/>
      <c r="Y130" s="20"/>
      <c r="Z130" s="20"/>
    </row>
    <row r="131" spans="1:26" ht="18">
      <c r="A131" s="290"/>
      <c r="B131" s="174"/>
      <c r="C131" s="291"/>
      <c r="D131" s="291"/>
      <c r="E131" s="291"/>
      <c r="F131" s="291"/>
      <c r="G131" s="291"/>
      <c r="H131" s="253"/>
      <c r="I131" s="253"/>
      <c r="J131" s="253"/>
      <c r="K131" s="253"/>
      <c r="L131" s="253"/>
      <c r="M131" s="253"/>
      <c r="N131" s="253"/>
      <c r="O131" s="253"/>
      <c r="P131" s="253"/>
      <c r="Q131" s="253"/>
      <c r="R131" s="253"/>
      <c r="S131" s="253"/>
      <c r="T131" s="20"/>
      <c r="U131" s="20"/>
      <c r="V131" s="20"/>
      <c r="W131" s="20"/>
      <c r="X131" s="20"/>
      <c r="Y131" s="20"/>
      <c r="Z131" s="20"/>
    </row>
    <row r="132" spans="1:26" ht="18">
      <c r="A132" s="290"/>
      <c r="B132" s="174"/>
      <c r="C132" s="291"/>
      <c r="D132" s="291"/>
      <c r="E132" s="291"/>
      <c r="F132" s="291"/>
      <c r="G132" s="291"/>
      <c r="H132" s="253"/>
      <c r="I132" s="253"/>
      <c r="J132" s="253"/>
      <c r="K132" s="253"/>
      <c r="L132" s="253"/>
      <c r="M132" s="253"/>
      <c r="N132" s="253"/>
      <c r="O132" s="253"/>
      <c r="P132" s="253"/>
      <c r="Q132" s="253"/>
      <c r="R132" s="253"/>
      <c r="S132" s="253"/>
      <c r="T132" s="20"/>
      <c r="U132" s="20"/>
      <c r="V132" s="20"/>
      <c r="W132" s="20"/>
      <c r="X132" s="20"/>
      <c r="Y132" s="20"/>
      <c r="Z132" s="20"/>
    </row>
    <row r="133" spans="1:26" ht="18">
      <c r="A133" s="1220" t="s">
        <v>166</v>
      </c>
      <c r="B133" s="1220"/>
      <c r="C133" s="1220"/>
      <c r="D133" s="1220"/>
      <c r="E133" s="1220"/>
      <c r="F133" s="1220"/>
      <c r="G133" s="1220"/>
      <c r="H133" s="253"/>
      <c r="I133" s="253"/>
      <c r="J133" s="253"/>
      <c r="K133" s="253"/>
      <c r="L133" s="253"/>
      <c r="M133" s="253"/>
      <c r="N133" s="253"/>
      <c r="O133" s="253"/>
      <c r="P133" s="253"/>
      <c r="Q133" s="253"/>
      <c r="R133" s="253"/>
      <c r="S133" s="253"/>
      <c r="T133" s="20"/>
      <c r="U133" s="20"/>
      <c r="V133" s="20"/>
      <c r="W133" s="20"/>
      <c r="X133" s="20"/>
      <c r="Y133" s="20"/>
      <c r="Z133" s="20"/>
    </row>
    <row r="134" spans="1:26" ht="18">
      <c r="A134" s="269"/>
      <c r="B134" s="269"/>
      <c r="C134" s="269"/>
      <c r="D134" s="269"/>
      <c r="E134" s="269"/>
      <c r="F134" s="269"/>
      <c r="G134" s="269"/>
      <c r="H134" s="253"/>
      <c r="I134" s="253"/>
      <c r="J134" s="253"/>
      <c r="K134" s="253"/>
      <c r="L134" s="253"/>
      <c r="M134" s="253"/>
      <c r="N134" s="253"/>
      <c r="O134" s="253"/>
      <c r="P134" s="253"/>
      <c r="Q134" s="253"/>
      <c r="R134" s="253"/>
      <c r="S134" s="253"/>
      <c r="T134" s="20"/>
      <c r="U134" s="20"/>
      <c r="V134" s="20"/>
      <c r="W134" s="20"/>
      <c r="X134" s="20"/>
      <c r="Y134" s="20"/>
      <c r="Z134" s="20"/>
    </row>
    <row r="135" spans="1:26" ht="18">
      <c r="A135" s="19" t="s">
        <v>13</v>
      </c>
      <c r="B135" s="20"/>
      <c r="C135" s="21"/>
      <c r="D135" s="21"/>
      <c r="E135" s="21"/>
      <c r="F135" s="20"/>
      <c r="G135" s="20"/>
      <c r="H135" s="253"/>
      <c r="I135" s="253"/>
      <c r="J135" s="253"/>
      <c r="K135" s="253"/>
      <c r="L135" s="253"/>
      <c r="M135" s="253"/>
      <c r="N135" s="253"/>
      <c r="O135" s="253"/>
      <c r="P135" s="253"/>
      <c r="Q135" s="253"/>
      <c r="R135" s="253"/>
      <c r="S135" s="253"/>
      <c r="T135" s="20"/>
      <c r="U135" s="20"/>
      <c r="V135" s="20"/>
      <c r="W135" s="20"/>
      <c r="X135" s="20"/>
      <c r="Y135" s="20"/>
      <c r="Z135" s="20"/>
    </row>
    <row r="136" spans="1:26" ht="21">
      <c r="A136" s="1210" t="s">
        <v>0</v>
      </c>
      <c r="B136" s="1211"/>
      <c r="C136" s="1211"/>
      <c r="D136" s="1211"/>
      <c r="E136" s="1211"/>
      <c r="F136" s="1211"/>
      <c r="G136" s="1211"/>
      <c r="H136" s="254"/>
      <c r="I136" s="254"/>
      <c r="J136" s="254"/>
      <c r="K136" s="254"/>
      <c r="L136" s="254"/>
      <c r="M136" s="254"/>
      <c r="N136" s="254"/>
      <c r="O136" s="254"/>
      <c r="P136" s="254"/>
      <c r="Q136" s="254"/>
      <c r="R136" s="254"/>
      <c r="S136" s="254"/>
      <c r="T136" s="255"/>
      <c r="U136" s="255"/>
      <c r="V136" s="255"/>
      <c r="W136" s="255"/>
      <c r="X136" s="255"/>
      <c r="Y136" s="255"/>
      <c r="Z136" s="255"/>
    </row>
    <row r="137" spans="1:26" ht="18">
      <c r="A137" s="1212" t="s">
        <v>14</v>
      </c>
      <c r="B137" s="1211"/>
      <c r="C137" s="1211"/>
      <c r="D137" s="1211"/>
      <c r="E137" s="1211"/>
      <c r="F137" s="1211"/>
      <c r="G137" s="1211"/>
      <c r="H137" s="254"/>
      <c r="I137" s="254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  <c r="T137" s="255"/>
      <c r="U137" s="255"/>
      <c r="V137" s="255"/>
      <c r="W137" s="255"/>
      <c r="X137" s="255"/>
      <c r="Y137" s="255"/>
      <c r="Z137" s="255"/>
    </row>
    <row r="138" spans="1:26" ht="18">
      <c r="A138" s="20"/>
      <c r="B138" s="20"/>
      <c r="C138" s="21"/>
      <c r="D138" s="21"/>
      <c r="E138" s="21"/>
      <c r="F138" s="20"/>
      <c r="G138" s="20"/>
      <c r="H138" s="253"/>
      <c r="I138" s="253"/>
      <c r="J138" s="253"/>
      <c r="K138" s="253"/>
      <c r="L138" s="253"/>
      <c r="M138" s="253"/>
      <c r="N138" s="253"/>
      <c r="O138" s="253"/>
      <c r="P138" s="253"/>
      <c r="Q138" s="253"/>
      <c r="R138" s="253"/>
      <c r="S138" s="253"/>
      <c r="T138" s="20"/>
      <c r="U138" s="20"/>
      <c r="V138" s="20"/>
      <c r="W138" s="20"/>
      <c r="X138" s="20"/>
      <c r="Y138" s="20"/>
      <c r="Z138" s="20"/>
    </row>
    <row r="139" spans="1:26" ht="18.75" thickBot="1">
      <c r="A139" s="20" t="s">
        <v>15</v>
      </c>
      <c r="B139" s="20"/>
      <c r="C139" s="21"/>
      <c r="D139" s="21"/>
      <c r="E139" s="21"/>
      <c r="F139" s="20"/>
      <c r="G139" s="20"/>
      <c r="H139" s="253"/>
      <c r="I139" s="253"/>
      <c r="J139" s="253"/>
      <c r="K139" s="253"/>
      <c r="L139" s="253"/>
      <c r="M139" s="253"/>
      <c r="N139" s="253"/>
      <c r="O139" s="253"/>
      <c r="P139" s="253"/>
      <c r="Q139" s="253"/>
      <c r="R139" s="253"/>
      <c r="S139" s="253"/>
      <c r="T139" s="20"/>
      <c r="U139" s="20"/>
      <c r="V139" s="20"/>
      <c r="W139" s="20"/>
      <c r="X139" s="20"/>
      <c r="Y139" s="20"/>
      <c r="Z139" s="20"/>
    </row>
    <row r="140" spans="1:26" ht="16.5" customHeight="1" thickTop="1" thickBot="1">
      <c r="A140" s="1213" t="s">
        <v>16</v>
      </c>
      <c r="B140" s="1213" t="s">
        <v>17</v>
      </c>
      <c r="C140" s="1215" t="s">
        <v>18</v>
      </c>
      <c r="D140" s="1216" t="s">
        <v>19</v>
      </c>
      <c r="E140" s="1217"/>
      <c r="F140" s="1218"/>
      <c r="G140" s="1219" t="s">
        <v>20</v>
      </c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60"/>
      <c r="U140" s="60"/>
      <c r="V140" s="60"/>
      <c r="W140" s="60"/>
      <c r="X140" s="60"/>
      <c r="Y140" s="60"/>
      <c r="Z140" s="60"/>
    </row>
    <row r="141" spans="1:26" ht="35.25" thickTop="1">
      <c r="A141" s="1214"/>
      <c r="B141" s="1214"/>
      <c r="C141" s="1214"/>
      <c r="D141" s="23" t="s">
        <v>21</v>
      </c>
      <c r="E141" s="23" t="s">
        <v>22</v>
      </c>
      <c r="F141" s="1213" t="s">
        <v>23</v>
      </c>
      <c r="G141" s="1214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60"/>
      <c r="U141" s="60"/>
      <c r="V141" s="60"/>
      <c r="W141" s="60"/>
      <c r="X141" s="60"/>
      <c r="Y141" s="60"/>
      <c r="Z141" s="60"/>
    </row>
    <row r="142" spans="1:26" ht="18">
      <c r="A142" s="1214"/>
      <c r="B142" s="1214"/>
      <c r="C142" s="1214"/>
      <c r="D142" s="24" t="s">
        <v>24</v>
      </c>
      <c r="E142" s="24" t="s">
        <v>25</v>
      </c>
      <c r="F142" s="1214"/>
      <c r="G142" s="1214"/>
      <c r="H142" s="256"/>
      <c r="I142" s="256"/>
      <c r="J142" s="256"/>
      <c r="K142" s="256"/>
      <c r="L142" s="256"/>
      <c r="M142" s="256"/>
      <c r="N142" s="256"/>
      <c r="O142" s="256"/>
      <c r="P142" s="256"/>
      <c r="Q142" s="256"/>
      <c r="R142" s="256"/>
      <c r="S142" s="256"/>
      <c r="T142" s="60"/>
      <c r="U142" s="60"/>
      <c r="V142" s="60"/>
      <c r="W142" s="60"/>
      <c r="X142" s="60"/>
      <c r="Y142" s="60"/>
      <c r="Z142" s="60"/>
    </row>
    <row r="143" spans="1:26" ht="19.5" customHeight="1" thickBot="1">
      <c r="A143" s="25" t="s">
        <v>26</v>
      </c>
      <c r="B143" s="25" t="s">
        <v>27</v>
      </c>
      <c r="C143" s="26" t="s">
        <v>28</v>
      </c>
      <c r="D143" s="26" t="s">
        <v>29</v>
      </c>
      <c r="E143" s="26" t="s">
        <v>30</v>
      </c>
      <c r="F143" s="25" t="s">
        <v>31</v>
      </c>
      <c r="G143" s="25" t="s">
        <v>32</v>
      </c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60"/>
      <c r="U143" s="60"/>
      <c r="V143" s="60"/>
      <c r="W143" s="60"/>
      <c r="X143" s="60"/>
      <c r="Y143" s="60"/>
      <c r="Z143" s="60"/>
    </row>
    <row r="144" spans="1:26" ht="31.15" customHeight="1" thickTop="1">
      <c r="A144" s="94" t="s">
        <v>177</v>
      </c>
      <c r="B144" s="292"/>
      <c r="C144" s="293"/>
      <c r="D144" s="293"/>
      <c r="E144" s="293"/>
      <c r="F144" s="293"/>
      <c r="G144" s="294">
        <v>35908866.630000003</v>
      </c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60"/>
      <c r="U144" s="60"/>
      <c r="V144" s="60"/>
      <c r="W144" s="60"/>
      <c r="X144" s="60"/>
      <c r="Y144" s="60"/>
      <c r="Z144" s="60"/>
    </row>
    <row r="145" spans="1:26" ht="24" customHeight="1">
      <c r="A145" s="90" t="s">
        <v>178</v>
      </c>
      <c r="B145" s="295"/>
      <c r="C145" s="72"/>
      <c r="D145" s="72"/>
      <c r="E145" s="72"/>
      <c r="F145" s="72"/>
      <c r="G145" s="296">
        <v>51123468.689999998</v>
      </c>
      <c r="H145" s="256"/>
      <c r="I145" s="256"/>
      <c r="J145" s="256"/>
      <c r="K145" s="256"/>
      <c r="L145" s="256"/>
      <c r="M145" s="256"/>
      <c r="N145" s="256"/>
      <c r="O145" s="256"/>
      <c r="P145" s="256"/>
      <c r="Q145" s="256"/>
      <c r="R145" s="256"/>
      <c r="S145" s="256"/>
      <c r="T145" s="60"/>
      <c r="U145" s="60"/>
      <c r="V145" s="60"/>
      <c r="W145" s="60"/>
      <c r="X145" s="60"/>
      <c r="Y145" s="60"/>
      <c r="Z145" s="60"/>
    </row>
    <row r="146" spans="1:26" ht="39" customHeight="1" thickBot="1">
      <c r="A146" s="94" t="s">
        <v>179</v>
      </c>
      <c r="B146" s="292"/>
      <c r="C146" s="293"/>
      <c r="D146" s="293"/>
      <c r="E146" s="293"/>
      <c r="F146" s="293"/>
      <c r="G146" s="294">
        <v>14363546.65</v>
      </c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60"/>
      <c r="U146" s="60"/>
      <c r="V146" s="60"/>
      <c r="W146" s="60"/>
      <c r="X146" s="60"/>
      <c r="Y146" s="60"/>
      <c r="Z146" s="60"/>
    </row>
    <row r="147" spans="1:26" ht="19.5" customHeight="1" thickTop="1" thickBot="1">
      <c r="A147" s="50" t="s">
        <v>180</v>
      </c>
      <c r="B147" s="297"/>
      <c r="C147" s="298"/>
      <c r="D147" s="298"/>
      <c r="E147" s="298"/>
      <c r="F147" s="298"/>
      <c r="G147" s="299">
        <f>G146+G145+G130+G129+G128+G144</f>
        <v>826649152.27999997</v>
      </c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60"/>
      <c r="U147" s="60"/>
      <c r="V147" s="60"/>
      <c r="W147" s="60"/>
      <c r="X147" s="60"/>
      <c r="Y147" s="60"/>
      <c r="Z147" s="60"/>
    </row>
    <row r="148" spans="1:26" ht="19.5" thickTop="1" thickBot="1">
      <c r="A148" s="50"/>
      <c r="B148" s="297"/>
      <c r="C148" s="298"/>
      <c r="D148" s="298"/>
      <c r="E148" s="298"/>
      <c r="F148" s="298"/>
      <c r="G148" s="299"/>
      <c r="H148" s="253"/>
      <c r="I148" s="300"/>
      <c r="J148" s="253"/>
      <c r="K148" s="253"/>
      <c r="L148" s="253"/>
      <c r="M148" s="253"/>
      <c r="N148" s="253"/>
      <c r="O148" s="253"/>
      <c r="P148" s="253"/>
      <c r="Q148" s="253"/>
      <c r="R148" s="253"/>
      <c r="S148" s="253"/>
      <c r="T148" s="20"/>
      <c r="U148" s="20"/>
      <c r="V148" s="20"/>
      <c r="W148" s="20"/>
      <c r="X148" s="20"/>
      <c r="Y148" s="20"/>
      <c r="Z148" s="20"/>
    </row>
    <row r="149" spans="1:26" ht="19.5" thickTop="1" thickBot="1">
      <c r="A149" s="50" t="s">
        <v>181</v>
      </c>
      <c r="B149" s="58"/>
      <c r="C149" s="52">
        <f>C147+C126+C121+C34</f>
        <v>703677367.78999996</v>
      </c>
      <c r="D149" s="52">
        <f>D147+D126+D121+D34</f>
        <v>247315729.90000001</v>
      </c>
      <c r="E149" s="52">
        <f>E147+E126+E121+E34</f>
        <v>239384181.94</v>
      </c>
      <c r="F149" s="52">
        <f>F147+F126+F121+F34</f>
        <v>556503472.01999998</v>
      </c>
      <c r="G149" s="301">
        <f>G147+G126+G121+G34</f>
        <v>1121725512.3866832</v>
      </c>
      <c r="H149" s="253"/>
      <c r="I149" s="272">
        <v>348660632.68000007</v>
      </c>
      <c r="J149" s="253"/>
      <c r="K149" s="253"/>
      <c r="L149" s="253"/>
      <c r="M149" s="253"/>
      <c r="N149" s="253"/>
      <c r="O149" s="253"/>
      <c r="P149" s="253"/>
      <c r="Q149" s="253"/>
      <c r="R149" s="253"/>
      <c r="S149" s="253"/>
      <c r="T149" s="20"/>
      <c r="U149" s="20"/>
      <c r="V149" s="20"/>
      <c r="W149" s="20"/>
      <c r="X149" s="20"/>
      <c r="Y149" s="20"/>
      <c r="Z149" s="20"/>
    </row>
    <row r="150" spans="1:26" ht="18.75" thickTop="1">
      <c r="A150" s="60"/>
      <c r="B150" s="60"/>
      <c r="C150" s="178"/>
      <c r="D150" s="178"/>
      <c r="E150" s="178"/>
      <c r="F150" s="60"/>
      <c r="G150" s="60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60"/>
      <c r="U150" s="60"/>
      <c r="V150" s="60"/>
      <c r="W150" s="60"/>
      <c r="X150" s="60"/>
      <c r="Y150" s="60"/>
      <c r="Z150" s="60"/>
    </row>
    <row r="151" spans="1:26" ht="18">
      <c r="A151" s="60"/>
      <c r="B151" s="60"/>
      <c r="C151" s="178"/>
      <c r="D151" s="178"/>
      <c r="E151" s="178"/>
      <c r="F151" s="178"/>
      <c r="G151" s="60"/>
      <c r="H151" s="256"/>
      <c r="I151" s="302">
        <v>-426768277.44999993</v>
      </c>
      <c r="J151" s="256"/>
      <c r="K151" s="256"/>
      <c r="L151" s="256"/>
      <c r="M151" s="256"/>
      <c r="N151" s="256"/>
      <c r="O151" s="256"/>
      <c r="P151" s="256"/>
      <c r="Q151" s="256"/>
      <c r="R151" s="256"/>
      <c r="S151" s="256"/>
      <c r="T151" s="60"/>
      <c r="U151" s="60"/>
      <c r="V151" s="60"/>
      <c r="W151" s="60"/>
      <c r="X151" s="60"/>
      <c r="Y151" s="60"/>
      <c r="Z151" s="60"/>
    </row>
    <row r="152" spans="1:26" ht="18">
      <c r="A152" s="60"/>
      <c r="B152" s="60"/>
      <c r="C152" s="178"/>
      <c r="D152" s="178"/>
      <c r="E152" s="178"/>
      <c r="F152" s="178"/>
      <c r="G152" s="60"/>
      <c r="H152" s="256"/>
      <c r="I152" s="302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60"/>
      <c r="U152" s="60"/>
      <c r="V152" s="60"/>
      <c r="W152" s="60"/>
      <c r="X152" s="60"/>
      <c r="Y152" s="60"/>
      <c r="Z152" s="60"/>
    </row>
    <row r="153" spans="1:26" ht="18">
      <c r="A153" s="60"/>
      <c r="B153" s="60"/>
      <c r="C153" s="178"/>
      <c r="D153" s="178"/>
      <c r="E153" s="178"/>
      <c r="F153" s="178"/>
      <c r="G153" s="303"/>
      <c r="H153" s="256"/>
      <c r="I153" s="302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60"/>
      <c r="U153" s="60"/>
      <c r="V153" s="60"/>
      <c r="W153" s="60"/>
      <c r="X153" s="60"/>
      <c r="Y153" s="60"/>
      <c r="Z153" s="60"/>
    </row>
    <row r="154" spans="1:26" ht="18">
      <c r="A154" s="60"/>
      <c r="B154" s="60"/>
      <c r="C154" s="178"/>
      <c r="D154" s="178"/>
      <c r="E154" s="178"/>
      <c r="F154" s="178"/>
      <c r="G154" s="60"/>
      <c r="H154" s="256"/>
      <c r="I154" s="302"/>
      <c r="J154" s="256"/>
      <c r="K154" s="256"/>
      <c r="L154" s="256"/>
      <c r="M154" s="256"/>
      <c r="N154" s="256"/>
      <c r="O154" s="256"/>
      <c r="P154" s="256"/>
      <c r="Q154" s="256"/>
      <c r="R154" s="256"/>
      <c r="S154" s="256"/>
      <c r="T154" s="60"/>
      <c r="U154" s="60"/>
      <c r="V154" s="60"/>
      <c r="W154" s="60"/>
      <c r="X154" s="60"/>
      <c r="Y154" s="60"/>
      <c r="Z154" s="60"/>
    </row>
    <row r="155" spans="1:26" ht="18">
      <c r="A155" s="60"/>
      <c r="B155" s="60"/>
      <c r="C155" s="178"/>
      <c r="D155" s="178"/>
      <c r="E155" s="178"/>
      <c r="F155" s="178"/>
      <c r="G155" s="304">
        <f>G149-G148</f>
        <v>1121725512.3866832</v>
      </c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60"/>
      <c r="U155" s="60"/>
      <c r="V155" s="60"/>
      <c r="W155" s="60"/>
      <c r="X155" s="60"/>
      <c r="Y155" s="60"/>
      <c r="Z155" s="60"/>
    </row>
    <row r="156" spans="1:26" ht="18">
      <c r="A156" s="60"/>
      <c r="B156" s="60"/>
      <c r="C156" s="178"/>
      <c r="D156" s="178"/>
      <c r="E156" s="178"/>
      <c r="F156" s="60"/>
      <c r="G156" s="60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60"/>
      <c r="U156" s="60"/>
      <c r="V156" s="60"/>
      <c r="W156" s="60"/>
      <c r="X156" s="60"/>
      <c r="Y156" s="60"/>
      <c r="Z156" s="60"/>
    </row>
    <row r="157" spans="1:26" ht="18">
      <c r="A157" s="60"/>
      <c r="B157" s="60"/>
      <c r="C157" s="178"/>
      <c r="D157" s="178"/>
      <c r="E157" s="178"/>
      <c r="F157" s="60"/>
      <c r="G157" s="60"/>
      <c r="H157" s="305">
        <v>0</v>
      </c>
      <c r="I157" s="256"/>
      <c r="J157" s="256"/>
      <c r="K157" s="256"/>
      <c r="L157" s="256"/>
      <c r="M157" s="256"/>
      <c r="N157" s="256"/>
      <c r="O157" s="256"/>
      <c r="P157" s="256"/>
      <c r="Q157" s="256"/>
      <c r="R157" s="256"/>
      <c r="S157" s="256"/>
      <c r="T157" s="60"/>
      <c r="U157" s="60"/>
      <c r="V157" s="60"/>
      <c r="W157" s="60"/>
      <c r="X157" s="60"/>
      <c r="Y157" s="60"/>
      <c r="Z157" s="60"/>
    </row>
    <row r="158" spans="1:26" ht="18">
      <c r="A158" s="61"/>
      <c r="B158" s="1223"/>
      <c r="C158" s="1211"/>
      <c r="D158" s="1211"/>
      <c r="E158" s="62"/>
      <c r="F158" s="1224"/>
      <c r="G158" s="1211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60"/>
      <c r="U158" s="60"/>
      <c r="V158" s="60"/>
      <c r="W158" s="60"/>
      <c r="X158" s="60"/>
      <c r="Y158" s="60"/>
      <c r="Z158" s="60"/>
    </row>
    <row r="159" spans="1:26" ht="18">
      <c r="A159" s="63"/>
      <c r="B159" s="1221"/>
      <c r="C159" s="1211"/>
      <c r="D159" s="1211"/>
      <c r="E159" s="64"/>
      <c r="F159" s="1222"/>
      <c r="G159" s="1211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60"/>
      <c r="U159" s="60"/>
      <c r="V159" s="60"/>
      <c r="W159" s="60"/>
      <c r="X159" s="60"/>
      <c r="Y159" s="60"/>
      <c r="Z159" s="60"/>
    </row>
    <row r="160" spans="1:26" ht="18">
      <c r="A160" s="60"/>
      <c r="B160" s="60"/>
      <c r="C160" s="178"/>
      <c r="D160" s="178"/>
      <c r="E160" s="178"/>
      <c r="F160" s="60"/>
      <c r="G160" s="60"/>
      <c r="H160" s="306">
        <v>775428910.13</v>
      </c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6"/>
      <c r="T160" s="60"/>
      <c r="U160" s="60"/>
      <c r="V160" s="60"/>
      <c r="W160" s="60"/>
      <c r="X160" s="60"/>
      <c r="Y160" s="60"/>
      <c r="Z160" s="60"/>
    </row>
    <row r="161" spans="1:26" ht="18">
      <c r="A161" s="60"/>
      <c r="B161" s="60"/>
      <c r="C161" s="178"/>
      <c r="D161" s="178"/>
      <c r="E161" s="178"/>
      <c r="F161" s="60"/>
      <c r="G161" s="178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60"/>
      <c r="U161" s="60"/>
      <c r="V161" s="60"/>
      <c r="W161" s="60"/>
      <c r="X161" s="60"/>
      <c r="Y161" s="60"/>
      <c r="Z161" s="60"/>
    </row>
    <row r="162" spans="1:26" ht="18">
      <c r="A162" s="60"/>
      <c r="B162" s="60"/>
      <c r="C162" s="178"/>
      <c r="D162" s="178"/>
      <c r="E162" s="178"/>
      <c r="F162" s="60"/>
      <c r="G162" s="60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60"/>
      <c r="U162" s="60"/>
      <c r="V162" s="60"/>
      <c r="W162" s="60"/>
      <c r="X162" s="60"/>
      <c r="Y162" s="60"/>
      <c r="Z162" s="60"/>
    </row>
    <row r="163" spans="1:26" ht="18">
      <c r="A163" s="60"/>
      <c r="B163" s="60"/>
      <c r="C163" s="178"/>
      <c r="D163" s="178"/>
      <c r="E163" s="178"/>
      <c r="F163" s="60"/>
      <c r="G163" s="60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60"/>
      <c r="U163" s="60"/>
      <c r="V163" s="60"/>
      <c r="W163" s="60"/>
      <c r="X163" s="60"/>
      <c r="Y163" s="60"/>
      <c r="Z163" s="60"/>
    </row>
    <row r="164" spans="1:26" ht="18">
      <c r="A164" s="307"/>
      <c r="B164" s="308"/>
      <c r="C164" s="174"/>
      <c r="D164" s="174"/>
      <c r="E164" s="174"/>
      <c r="F164" s="174"/>
      <c r="G164" s="174"/>
      <c r="H164" s="253"/>
      <c r="I164" s="253"/>
      <c r="J164" s="253"/>
      <c r="K164" s="253"/>
      <c r="L164" s="253"/>
      <c r="M164" s="253"/>
      <c r="N164" s="253"/>
      <c r="O164" s="253"/>
      <c r="P164" s="253"/>
      <c r="Q164" s="253"/>
      <c r="R164" s="253"/>
      <c r="S164" s="253"/>
      <c r="T164" s="20"/>
      <c r="U164" s="20"/>
      <c r="V164" s="20"/>
      <c r="W164" s="20"/>
      <c r="X164" s="20"/>
      <c r="Y164" s="20"/>
      <c r="Z164" s="20"/>
    </row>
    <row r="165" spans="1:26" ht="18">
      <c r="A165" s="307"/>
      <c r="B165" s="308"/>
      <c r="C165" s="174"/>
      <c r="D165" s="174"/>
      <c r="E165" s="174"/>
      <c r="F165" s="174"/>
      <c r="G165" s="174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60"/>
      <c r="U165" s="60"/>
      <c r="V165" s="60"/>
      <c r="W165" s="60"/>
      <c r="X165" s="60"/>
      <c r="Y165" s="60"/>
      <c r="Z165" s="60"/>
    </row>
    <row r="166" spans="1:26" ht="18">
      <c r="A166" s="60"/>
      <c r="B166" s="60"/>
      <c r="C166" s="178"/>
      <c r="D166" s="178"/>
      <c r="E166" s="178"/>
      <c r="F166" s="60"/>
      <c r="G166" s="60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60"/>
      <c r="U166" s="60"/>
      <c r="V166" s="60"/>
      <c r="W166" s="60"/>
      <c r="X166" s="60"/>
      <c r="Y166" s="60"/>
      <c r="Z166" s="60"/>
    </row>
    <row r="167" spans="1:26" ht="18">
      <c r="A167" s="60"/>
      <c r="B167" s="60"/>
      <c r="C167" s="178"/>
      <c r="D167" s="178"/>
      <c r="E167" s="178"/>
      <c r="F167" s="60"/>
      <c r="G167" s="60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60"/>
      <c r="U167" s="60"/>
      <c r="V167" s="60"/>
      <c r="W167" s="60"/>
      <c r="X167" s="60"/>
      <c r="Y167" s="60"/>
      <c r="Z167" s="60"/>
    </row>
    <row r="168" spans="1:26" ht="18">
      <c r="A168" s="60" t="s">
        <v>182</v>
      </c>
      <c r="B168" s="60"/>
      <c r="C168" s="178"/>
      <c r="D168" s="178"/>
      <c r="E168" s="178"/>
      <c r="F168" s="60"/>
      <c r="G168" s="60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60"/>
      <c r="U168" s="60"/>
      <c r="V168" s="60"/>
      <c r="W168" s="60"/>
      <c r="X168" s="60"/>
      <c r="Y168" s="60"/>
      <c r="Z168" s="60"/>
    </row>
    <row r="169" spans="1:26" ht="18">
      <c r="A169" s="60"/>
      <c r="B169" s="60"/>
      <c r="C169" s="178"/>
      <c r="D169" s="178"/>
      <c r="E169" s="178"/>
      <c r="F169" s="60"/>
      <c r="G169" s="60"/>
      <c r="H169" s="256"/>
      <c r="I169" s="256"/>
      <c r="J169" s="256"/>
      <c r="K169" s="256"/>
      <c r="L169" s="256"/>
      <c r="M169" s="256"/>
      <c r="N169" s="256"/>
      <c r="O169" s="256"/>
      <c r="P169" s="256"/>
      <c r="Q169" s="256"/>
      <c r="R169" s="256"/>
      <c r="S169" s="256"/>
      <c r="T169" s="60"/>
      <c r="U169" s="60"/>
      <c r="V169" s="60"/>
      <c r="W169" s="60"/>
      <c r="X169" s="60"/>
      <c r="Y169" s="60"/>
      <c r="Z169" s="60"/>
    </row>
    <row r="170" spans="1:26" ht="18">
      <c r="A170" s="60"/>
      <c r="B170" s="60"/>
      <c r="C170" s="178"/>
      <c r="D170" s="178"/>
      <c r="E170" s="178"/>
      <c r="F170" s="60"/>
      <c r="G170" s="60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60"/>
      <c r="U170" s="60"/>
      <c r="V170" s="60"/>
      <c r="W170" s="60"/>
      <c r="X170" s="60"/>
      <c r="Y170" s="60"/>
      <c r="Z170" s="60"/>
    </row>
    <row r="171" spans="1:26" ht="18">
      <c r="A171" s="60"/>
      <c r="B171" s="60"/>
      <c r="C171" s="178"/>
      <c r="D171" s="178"/>
      <c r="E171" s="178"/>
      <c r="F171" s="60"/>
      <c r="G171" s="60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60"/>
      <c r="U171" s="60"/>
      <c r="V171" s="60"/>
      <c r="W171" s="60"/>
      <c r="X171" s="60"/>
      <c r="Y171" s="60"/>
      <c r="Z171" s="60"/>
    </row>
    <row r="172" spans="1:26" ht="18">
      <c r="A172" s="60"/>
      <c r="B172" s="60"/>
      <c r="C172" s="178"/>
      <c r="D172" s="178"/>
      <c r="E172" s="178"/>
      <c r="F172" s="60"/>
      <c r="G172" s="60"/>
      <c r="H172" s="256"/>
      <c r="I172" s="256"/>
      <c r="J172" s="256"/>
      <c r="K172" s="256"/>
      <c r="L172" s="256"/>
      <c r="M172" s="256"/>
      <c r="N172" s="256"/>
      <c r="O172" s="256"/>
      <c r="P172" s="256"/>
      <c r="Q172" s="256"/>
      <c r="R172" s="256"/>
      <c r="S172" s="256"/>
      <c r="T172" s="60"/>
      <c r="U172" s="60"/>
      <c r="V172" s="60"/>
      <c r="W172" s="60"/>
      <c r="X172" s="60"/>
      <c r="Y172" s="60"/>
      <c r="Z172" s="60"/>
    </row>
    <row r="173" spans="1:26" ht="18">
      <c r="A173" s="60"/>
      <c r="B173" s="60"/>
      <c r="C173" s="178"/>
      <c r="D173" s="178"/>
      <c r="E173" s="178"/>
      <c r="F173" s="60"/>
      <c r="G173" s="60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60"/>
      <c r="U173" s="60"/>
      <c r="V173" s="60"/>
      <c r="W173" s="60"/>
      <c r="X173" s="60"/>
      <c r="Y173" s="60"/>
      <c r="Z173" s="60"/>
    </row>
    <row r="174" spans="1:26" ht="18">
      <c r="A174" s="60"/>
      <c r="B174" s="60"/>
      <c r="C174" s="178"/>
      <c r="D174" s="178"/>
      <c r="E174" s="178"/>
      <c r="F174" s="60"/>
      <c r="G174" s="60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60"/>
      <c r="U174" s="60"/>
      <c r="V174" s="60"/>
      <c r="W174" s="60"/>
      <c r="X174" s="60"/>
      <c r="Y174" s="60"/>
      <c r="Z174" s="60"/>
    </row>
    <row r="175" spans="1:26" ht="18">
      <c r="A175" s="60"/>
      <c r="B175" s="60"/>
      <c r="C175" s="178"/>
      <c r="D175" s="178"/>
      <c r="E175" s="178"/>
      <c r="F175" s="60"/>
      <c r="G175" s="60"/>
      <c r="H175" s="256"/>
      <c r="I175" s="256"/>
      <c r="J175" s="256"/>
      <c r="K175" s="256"/>
      <c r="L175" s="256"/>
      <c r="M175" s="256"/>
      <c r="N175" s="256"/>
      <c r="O175" s="256"/>
      <c r="P175" s="256"/>
      <c r="Q175" s="256"/>
      <c r="R175" s="256"/>
      <c r="S175" s="256"/>
      <c r="T175" s="60"/>
      <c r="U175" s="60"/>
      <c r="V175" s="60"/>
      <c r="W175" s="60"/>
      <c r="X175" s="60"/>
      <c r="Y175" s="60"/>
      <c r="Z175" s="60"/>
    </row>
    <row r="176" spans="1:26" ht="18">
      <c r="A176" s="60"/>
      <c r="B176" s="60"/>
      <c r="C176" s="178"/>
      <c r="D176" s="178"/>
      <c r="E176" s="178"/>
      <c r="F176" s="60"/>
      <c r="G176" s="60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60"/>
      <c r="U176" s="60"/>
      <c r="V176" s="60"/>
      <c r="W176" s="60"/>
      <c r="X176" s="60"/>
      <c r="Y176" s="60"/>
      <c r="Z176" s="60"/>
    </row>
    <row r="177" spans="1:26" ht="18">
      <c r="A177" s="60"/>
      <c r="B177" s="60"/>
      <c r="C177" s="178"/>
      <c r="D177" s="178"/>
      <c r="E177" s="178"/>
      <c r="F177" s="60"/>
      <c r="G177" s="60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60"/>
      <c r="U177" s="60"/>
      <c r="V177" s="60"/>
      <c r="W177" s="60"/>
      <c r="X177" s="60"/>
      <c r="Y177" s="60"/>
      <c r="Z177" s="60"/>
    </row>
    <row r="178" spans="1:26" ht="18">
      <c r="A178" s="60"/>
      <c r="B178" s="60"/>
      <c r="C178" s="178"/>
      <c r="D178" s="178"/>
      <c r="E178" s="178"/>
      <c r="F178" s="60"/>
      <c r="G178" s="60"/>
      <c r="H178" s="25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60"/>
      <c r="U178" s="60"/>
      <c r="V178" s="60"/>
      <c r="W178" s="60"/>
      <c r="X178" s="60"/>
      <c r="Y178" s="60"/>
      <c r="Z178" s="60"/>
    </row>
    <row r="179" spans="1:26" ht="18">
      <c r="A179" s="60"/>
      <c r="B179" s="60"/>
      <c r="C179" s="178"/>
      <c r="D179" s="178"/>
      <c r="E179" s="178"/>
      <c r="F179" s="60"/>
      <c r="G179" s="60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60"/>
      <c r="U179" s="60"/>
      <c r="V179" s="60"/>
      <c r="W179" s="60"/>
      <c r="X179" s="60"/>
      <c r="Y179" s="60"/>
      <c r="Z179" s="60"/>
    </row>
    <row r="180" spans="1:26" ht="18">
      <c r="A180" s="60"/>
      <c r="B180" s="60"/>
      <c r="C180" s="178"/>
      <c r="D180" s="178"/>
      <c r="E180" s="178"/>
      <c r="F180" s="60"/>
      <c r="G180" s="60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60"/>
      <c r="U180" s="60"/>
      <c r="V180" s="60"/>
      <c r="W180" s="60"/>
      <c r="X180" s="60"/>
      <c r="Y180" s="60"/>
      <c r="Z180" s="60"/>
    </row>
    <row r="181" spans="1:26" ht="18">
      <c r="A181" s="60"/>
      <c r="B181" s="60"/>
      <c r="C181" s="178"/>
      <c r="D181" s="178"/>
      <c r="E181" s="178"/>
      <c r="F181" s="60"/>
      <c r="G181" s="60"/>
      <c r="H181" s="256"/>
      <c r="I181" s="256"/>
      <c r="J181" s="256"/>
      <c r="K181" s="256"/>
      <c r="L181" s="256"/>
      <c r="M181" s="256"/>
      <c r="N181" s="256"/>
      <c r="O181" s="256"/>
      <c r="P181" s="256"/>
      <c r="Q181" s="256"/>
      <c r="R181" s="256"/>
      <c r="S181" s="256"/>
      <c r="T181" s="60"/>
      <c r="U181" s="60"/>
      <c r="V181" s="60"/>
      <c r="W181" s="60"/>
      <c r="X181" s="60"/>
      <c r="Y181" s="60"/>
      <c r="Z181" s="60"/>
    </row>
    <row r="182" spans="1:26" ht="18">
      <c r="A182" s="60"/>
      <c r="B182" s="60"/>
      <c r="C182" s="178"/>
      <c r="D182" s="178"/>
      <c r="E182" s="178"/>
      <c r="F182" s="60"/>
      <c r="G182" s="60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60"/>
      <c r="U182" s="60"/>
      <c r="V182" s="60"/>
      <c r="W182" s="60"/>
      <c r="X182" s="60"/>
      <c r="Y182" s="60"/>
      <c r="Z182" s="60"/>
    </row>
    <row r="183" spans="1:26" ht="18">
      <c r="A183" s="60"/>
      <c r="B183" s="60"/>
      <c r="C183" s="178"/>
      <c r="D183" s="178"/>
      <c r="E183" s="178"/>
      <c r="F183" s="60"/>
      <c r="G183" s="60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60"/>
      <c r="U183" s="60"/>
      <c r="V183" s="60"/>
      <c r="W183" s="60"/>
      <c r="X183" s="60"/>
      <c r="Y183" s="60"/>
      <c r="Z183" s="60"/>
    </row>
    <row r="184" spans="1:26" ht="18">
      <c r="A184" s="60"/>
      <c r="B184" s="60"/>
      <c r="C184" s="178"/>
      <c r="D184" s="178"/>
      <c r="E184" s="178"/>
      <c r="F184" s="60"/>
      <c r="G184" s="60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60"/>
      <c r="U184" s="60"/>
      <c r="V184" s="60"/>
      <c r="W184" s="60"/>
      <c r="X184" s="60"/>
      <c r="Y184" s="60"/>
      <c r="Z184" s="60"/>
    </row>
    <row r="185" spans="1:26" ht="18">
      <c r="A185" s="60"/>
      <c r="B185" s="60"/>
      <c r="C185" s="178"/>
      <c r="D185" s="178"/>
      <c r="E185" s="178"/>
      <c r="F185" s="60"/>
      <c r="G185" s="60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60"/>
      <c r="U185" s="60"/>
      <c r="V185" s="60"/>
      <c r="W185" s="60"/>
      <c r="X185" s="60"/>
      <c r="Y185" s="60"/>
      <c r="Z185" s="60"/>
    </row>
    <row r="186" spans="1:26" ht="18">
      <c r="A186" s="60"/>
      <c r="B186" s="60"/>
      <c r="C186" s="178"/>
      <c r="D186" s="178"/>
      <c r="E186" s="178"/>
      <c r="F186" s="60"/>
      <c r="G186" s="60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60"/>
      <c r="U186" s="60"/>
      <c r="V186" s="60"/>
      <c r="W186" s="60"/>
      <c r="X186" s="60"/>
      <c r="Y186" s="60"/>
      <c r="Z186" s="60"/>
    </row>
    <row r="187" spans="1:26" ht="18">
      <c r="A187" s="60"/>
      <c r="B187" s="60"/>
      <c r="C187" s="178"/>
      <c r="D187" s="178"/>
      <c r="E187" s="178"/>
      <c r="F187" s="60"/>
      <c r="G187" s="60"/>
      <c r="H187" s="256"/>
      <c r="I187" s="256"/>
      <c r="J187" s="256"/>
      <c r="K187" s="256"/>
      <c r="L187" s="256"/>
      <c r="M187" s="256"/>
      <c r="N187" s="256"/>
      <c r="O187" s="256"/>
      <c r="P187" s="256"/>
      <c r="Q187" s="256"/>
      <c r="R187" s="256"/>
      <c r="S187" s="256"/>
      <c r="T187" s="60"/>
      <c r="U187" s="60"/>
      <c r="V187" s="60"/>
      <c r="W187" s="60"/>
      <c r="X187" s="60"/>
      <c r="Y187" s="60"/>
      <c r="Z187" s="60"/>
    </row>
    <row r="188" spans="1:26" ht="18">
      <c r="A188" s="60"/>
      <c r="B188" s="60"/>
      <c r="C188" s="178"/>
      <c r="D188" s="178"/>
      <c r="E188" s="178"/>
      <c r="F188" s="60"/>
      <c r="G188" s="60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60"/>
      <c r="U188" s="60"/>
      <c r="V188" s="60"/>
      <c r="W188" s="60"/>
      <c r="X188" s="60"/>
      <c r="Y188" s="60"/>
      <c r="Z188" s="60"/>
    </row>
    <row r="189" spans="1:26" ht="18">
      <c r="A189" s="60"/>
      <c r="B189" s="60"/>
      <c r="C189" s="178"/>
      <c r="D189" s="178"/>
      <c r="E189" s="178"/>
      <c r="F189" s="60"/>
      <c r="G189" s="60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60"/>
      <c r="U189" s="60"/>
      <c r="V189" s="60"/>
      <c r="W189" s="60"/>
      <c r="X189" s="60"/>
      <c r="Y189" s="60"/>
      <c r="Z189" s="60"/>
    </row>
    <row r="190" spans="1:26" ht="18">
      <c r="A190" s="60" t="s">
        <v>183</v>
      </c>
      <c r="B190" s="60" t="s">
        <v>184</v>
      </c>
      <c r="C190" s="178"/>
      <c r="D190" s="178"/>
      <c r="E190" s="178"/>
      <c r="F190" s="178" t="s">
        <v>185</v>
      </c>
      <c r="G190" s="60"/>
      <c r="H190" s="256"/>
      <c r="I190" s="256"/>
      <c r="J190" s="256"/>
      <c r="K190" s="256"/>
      <c r="L190" s="256"/>
      <c r="M190" s="256"/>
      <c r="N190" s="256"/>
      <c r="O190" s="256"/>
      <c r="P190" s="256"/>
      <c r="Q190" s="256"/>
      <c r="R190" s="256"/>
      <c r="S190" s="256"/>
      <c r="T190" s="60"/>
      <c r="U190" s="60"/>
      <c r="V190" s="60"/>
      <c r="W190" s="60"/>
      <c r="X190" s="60"/>
      <c r="Y190" s="60"/>
      <c r="Z190" s="60"/>
    </row>
    <row r="191" spans="1:26" ht="18">
      <c r="A191" s="60"/>
      <c r="B191" s="60"/>
      <c r="C191" s="178"/>
      <c r="D191" s="178"/>
      <c r="E191" s="178"/>
      <c r="F191" s="178"/>
      <c r="G191" s="60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60"/>
      <c r="U191" s="60"/>
      <c r="V191" s="60"/>
      <c r="W191" s="60"/>
      <c r="X191" s="60"/>
      <c r="Y191" s="60"/>
      <c r="Z191" s="60"/>
    </row>
    <row r="192" spans="1:26" ht="18">
      <c r="A192" s="60"/>
      <c r="B192" s="60"/>
      <c r="C192" s="178"/>
      <c r="D192" s="178"/>
      <c r="E192" s="178"/>
      <c r="F192" s="178"/>
      <c r="G192" s="60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60"/>
      <c r="U192" s="60"/>
      <c r="V192" s="60"/>
      <c r="W192" s="60"/>
      <c r="X192" s="60"/>
      <c r="Y192" s="60"/>
      <c r="Z192" s="60"/>
    </row>
    <row r="193" spans="1:26" ht="18">
      <c r="A193" s="60"/>
      <c r="B193" s="60"/>
      <c r="C193" s="178"/>
      <c r="D193" s="178"/>
      <c r="E193" s="178"/>
      <c r="F193" s="178"/>
      <c r="G193" s="60"/>
      <c r="H193" s="256"/>
      <c r="I193" s="256"/>
      <c r="J193" s="256"/>
      <c r="K193" s="256"/>
      <c r="L193" s="256"/>
      <c r="M193" s="256"/>
      <c r="N193" s="256"/>
      <c r="O193" s="256"/>
      <c r="P193" s="256"/>
      <c r="Q193" s="256"/>
      <c r="R193" s="256"/>
      <c r="S193" s="256"/>
      <c r="T193" s="60"/>
      <c r="U193" s="60"/>
      <c r="V193" s="60"/>
      <c r="W193" s="60"/>
      <c r="X193" s="60"/>
      <c r="Y193" s="60"/>
      <c r="Z193" s="60"/>
    </row>
    <row r="194" spans="1:26" ht="18">
      <c r="A194" s="60"/>
      <c r="B194" s="60"/>
      <c r="C194" s="178"/>
      <c r="D194" s="178"/>
      <c r="E194" s="178"/>
      <c r="F194" s="178"/>
      <c r="G194" s="60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60"/>
      <c r="U194" s="60"/>
      <c r="V194" s="60"/>
      <c r="W194" s="60"/>
      <c r="X194" s="60"/>
      <c r="Y194" s="60"/>
      <c r="Z194" s="60"/>
    </row>
    <row r="195" spans="1:26" ht="18">
      <c r="A195" s="60"/>
      <c r="B195" s="60"/>
      <c r="C195" s="178"/>
      <c r="D195" s="178"/>
      <c r="E195" s="178"/>
      <c r="F195" s="60"/>
      <c r="G195" s="60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60"/>
      <c r="U195" s="60"/>
      <c r="V195" s="60"/>
      <c r="W195" s="60"/>
      <c r="X195" s="60"/>
      <c r="Y195" s="60"/>
      <c r="Z195" s="60"/>
    </row>
    <row r="196" spans="1:26" ht="18">
      <c r="A196" s="60"/>
      <c r="B196" s="60"/>
      <c r="C196" s="178"/>
      <c r="D196" s="178"/>
      <c r="E196" s="178"/>
      <c r="F196" s="60"/>
      <c r="G196" s="60"/>
      <c r="H196" s="256"/>
      <c r="I196" s="256"/>
      <c r="J196" s="256"/>
      <c r="K196" s="256"/>
      <c r="L196" s="256"/>
      <c r="M196" s="256"/>
      <c r="N196" s="256"/>
      <c r="O196" s="256"/>
      <c r="P196" s="256"/>
      <c r="Q196" s="256"/>
      <c r="R196" s="256"/>
      <c r="S196" s="256"/>
      <c r="T196" s="60"/>
      <c r="U196" s="60"/>
      <c r="V196" s="60"/>
      <c r="W196" s="60"/>
      <c r="X196" s="60"/>
      <c r="Y196" s="60"/>
      <c r="Z196" s="60"/>
    </row>
    <row r="197" spans="1:26" ht="18" customHeight="1">
      <c r="A197" s="309" t="s">
        <v>186</v>
      </c>
      <c r="B197" s="1223" t="s">
        <v>187</v>
      </c>
      <c r="C197" s="1211"/>
      <c r="D197" s="1211"/>
      <c r="E197" s="62"/>
      <c r="F197" s="1224" t="s">
        <v>188</v>
      </c>
      <c r="G197" s="1211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60"/>
      <c r="U197" s="60"/>
      <c r="V197" s="60"/>
      <c r="W197" s="60"/>
      <c r="X197" s="60"/>
      <c r="Y197" s="60"/>
      <c r="Z197" s="60"/>
    </row>
    <row r="198" spans="1:26" ht="18" customHeight="1">
      <c r="A198" s="63" t="s">
        <v>189</v>
      </c>
      <c r="B198" s="1221" t="s">
        <v>190</v>
      </c>
      <c r="C198" s="1211"/>
      <c r="D198" s="1211"/>
      <c r="E198" s="64"/>
      <c r="F198" s="1222" t="s">
        <v>191</v>
      </c>
      <c r="G198" s="1211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60"/>
      <c r="U198" s="60"/>
      <c r="V198" s="60"/>
      <c r="W198" s="60"/>
      <c r="X198" s="60"/>
      <c r="Y198" s="60"/>
      <c r="Z198" s="60"/>
    </row>
    <row r="199" spans="1:26" ht="18" customHeight="1">
      <c r="A199" s="60"/>
      <c r="B199" s="60"/>
      <c r="C199" s="178"/>
      <c r="D199" s="178"/>
      <c r="E199" s="178"/>
      <c r="F199" s="60"/>
      <c r="G199" s="60"/>
      <c r="H199" s="256"/>
      <c r="I199" s="256"/>
      <c r="J199" s="256"/>
      <c r="K199" s="256"/>
      <c r="L199" s="256"/>
      <c r="M199" s="256"/>
      <c r="N199" s="256"/>
      <c r="O199" s="256"/>
      <c r="P199" s="256"/>
      <c r="Q199" s="256"/>
      <c r="R199" s="256"/>
      <c r="S199" s="256"/>
      <c r="T199" s="60"/>
      <c r="U199" s="60"/>
      <c r="V199" s="60"/>
      <c r="W199" s="60"/>
      <c r="X199" s="60"/>
      <c r="Y199" s="60"/>
      <c r="Z199" s="60"/>
    </row>
    <row r="200" spans="1:26" ht="18" customHeight="1">
      <c r="A200" s="60"/>
      <c r="B200" s="60"/>
      <c r="C200" s="178"/>
      <c r="D200" s="178"/>
      <c r="E200" s="178"/>
      <c r="F200" s="60"/>
      <c r="G200" s="60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60"/>
      <c r="U200" s="60"/>
      <c r="V200" s="60"/>
      <c r="W200" s="60"/>
      <c r="X200" s="60"/>
      <c r="Y200" s="60"/>
      <c r="Z200" s="60"/>
    </row>
    <row r="201" spans="1:26" ht="18">
      <c r="A201" s="1220" t="s">
        <v>192</v>
      </c>
      <c r="B201" s="1220"/>
      <c r="C201" s="1220"/>
      <c r="D201" s="1220"/>
      <c r="E201" s="1220"/>
      <c r="F201" s="1220"/>
      <c r="G201" s="1220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60"/>
      <c r="U201" s="60"/>
      <c r="V201" s="60"/>
      <c r="W201" s="60"/>
      <c r="X201" s="60"/>
      <c r="Y201" s="60"/>
      <c r="Z201" s="60"/>
    </row>
    <row r="202" spans="1:26" ht="18">
      <c r="A202" s="60"/>
      <c r="B202" s="60"/>
      <c r="C202" s="178"/>
      <c r="D202" s="178"/>
      <c r="E202" s="178"/>
      <c r="F202" s="60"/>
      <c r="G202" s="60"/>
      <c r="H202" s="256"/>
      <c r="I202" s="256"/>
      <c r="J202" s="256"/>
      <c r="K202" s="256"/>
      <c r="L202" s="256"/>
      <c r="M202" s="256"/>
      <c r="N202" s="256"/>
      <c r="O202" s="256"/>
      <c r="P202" s="256"/>
      <c r="Q202" s="256"/>
      <c r="R202" s="256"/>
      <c r="S202" s="256"/>
      <c r="T202" s="60"/>
      <c r="U202" s="60"/>
      <c r="V202" s="60"/>
      <c r="W202" s="60"/>
      <c r="X202" s="60"/>
      <c r="Y202" s="60"/>
      <c r="Z202" s="60"/>
    </row>
    <row r="203" spans="1:26" ht="18">
      <c r="A203" s="60"/>
      <c r="B203" s="60"/>
      <c r="C203" s="178"/>
      <c r="D203" s="178"/>
      <c r="E203" s="178"/>
      <c r="F203" s="60"/>
      <c r="G203" s="60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60"/>
      <c r="U203" s="60"/>
      <c r="V203" s="60"/>
      <c r="W203" s="60"/>
      <c r="X203" s="60"/>
      <c r="Y203" s="60"/>
      <c r="Z203" s="60"/>
    </row>
    <row r="204" spans="1:26" ht="18">
      <c r="A204" s="60"/>
      <c r="B204" s="60"/>
      <c r="C204" s="178"/>
      <c r="D204" s="178"/>
      <c r="E204" s="178"/>
      <c r="F204" s="60"/>
      <c r="G204" s="60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60"/>
      <c r="U204" s="60"/>
      <c r="V204" s="60"/>
      <c r="W204" s="60"/>
      <c r="X204" s="60"/>
      <c r="Y204" s="60"/>
      <c r="Z204" s="60"/>
    </row>
    <row r="205" spans="1:26" ht="18">
      <c r="A205" s="60"/>
      <c r="B205" s="60"/>
      <c r="C205" s="178"/>
      <c r="D205" s="178"/>
      <c r="E205" s="178"/>
      <c r="F205" s="60"/>
      <c r="G205" s="60"/>
      <c r="H205" s="256"/>
      <c r="I205" s="256"/>
      <c r="J205" s="256"/>
      <c r="K205" s="256"/>
      <c r="L205" s="256"/>
      <c r="M205" s="256"/>
      <c r="N205" s="256"/>
      <c r="O205" s="256"/>
      <c r="P205" s="256"/>
      <c r="Q205" s="256"/>
      <c r="R205" s="256"/>
      <c r="S205" s="256"/>
      <c r="T205" s="60"/>
      <c r="U205" s="60"/>
      <c r="V205" s="60"/>
      <c r="W205" s="60"/>
      <c r="X205" s="60"/>
      <c r="Y205" s="60"/>
      <c r="Z205" s="60"/>
    </row>
    <row r="206" spans="1:26" ht="18">
      <c r="A206" s="60"/>
      <c r="B206" s="60"/>
      <c r="C206" s="178"/>
      <c r="D206" s="178"/>
      <c r="E206" s="178"/>
      <c r="F206" s="60"/>
      <c r="G206" s="60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60"/>
      <c r="U206" s="60"/>
      <c r="V206" s="60"/>
      <c r="W206" s="60"/>
      <c r="X206" s="60"/>
      <c r="Y206" s="60"/>
      <c r="Z206" s="60"/>
    </row>
    <row r="207" spans="1:26" ht="18">
      <c r="A207" s="60"/>
      <c r="B207" s="60"/>
      <c r="C207" s="178"/>
      <c r="D207" s="178"/>
      <c r="E207" s="178"/>
      <c r="F207" s="60"/>
      <c r="G207" s="60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60"/>
      <c r="U207" s="60"/>
      <c r="V207" s="60"/>
      <c r="W207" s="60"/>
      <c r="X207" s="60"/>
      <c r="Y207" s="60"/>
      <c r="Z207" s="60"/>
    </row>
    <row r="208" spans="1:26" ht="18">
      <c r="A208" s="60"/>
      <c r="B208" s="60"/>
      <c r="C208" s="178"/>
      <c r="D208" s="178"/>
      <c r="E208" s="178"/>
      <c r="F208" s="60"/>
      <c r="G208" s="60"/>
      <c r="H208" s="256"/>
      <c r="I208" s="256"/>
      <c r="J208" s="256"/>
      <c r="K208" s="256"/>
      <c r="L208" s="256"/>
      <c r="M208" s="256"/>
      <c r="N208" s="256"/>
      <c r="O208" s="256"/>
      <c r="P208" s="256"/>
      <c r="Q208" s="256"/>
      <c r="R208" s="256"/>
      <c r="S208" s="256"/>
      <c r="T208" s="60"/>
      <c r="U208" s="60"/>
      <c r="V208" s="60"/>
      <c r="W208" s="60"/>
      <c r="X208" s="60"/>
      <c r="Y208" s="60"/>
      <c r="Z208" s="60"/>
    </row>
    <row r="209" spans="1:26" ht="18">
      <c r="A209" s="60"/>
      <c r="B209" s="60"/>
      <c r="C209" s="178"/>
      <c r="D209" s="178"/>
      <c r="E209" s="178"/>
      <c r="F209" s="60"/>
      <c r="G209" s="60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60"/>
      <c r="U209" s="60"/>
      <c r="V209" s="60"/>
      <c r="W209" s="60"/>
      <c r="X209" s="60"/>
      <c r="Y209" s="60"/>
      <c r="Z209" s="60"/>
    </row>
    <row r="210" spans="1:26" ht="18">
      <c r="A210" s="60"/>
      <c r="B210" s="60"/>
      <c r="C210" s="178"/>
      <c r="D210" s="178"/>
      <c r="E210" s="178"/>
      <c r="F210" s="60"/>
      <c r="G210" s="60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60"/>
      <c r="U210" s="60"/>
      <c r="V210" s="60"/>
      <c r="W210" s="60"/>
      <c r="X210" s="60"/>
      <c r="Y210" s="60"/>
      <c r="Z210" s="60"/>
    </row>
    <row r="211" spans="1:26" ht="18">
      <c r="A211" s="60"/>
      <c r="B211" s="60"/>
      <c r="C211" s="178"/>
      <c r="D211" s="178"/>
      <c r="E211" s="178"/>
      <c r="F211" s="60"/>
      <c r="G211" s="60"/>
      <c r="H211" s="256"/>
      <c r="I211" s="256"/>
      <c r="J211" s="256"/>
      <c r="K211" s="256"/>
      <c r="L211" s="256"/>
      <c r="M211" s="256"/>
      <c r="N211" s="256"/>
      <c r="O211" s="256"/>
      <c r="P211" s="256"/>
      <c r="Q211" s="256"/>
      <c r="R211" s="256"/>
      <c r="S211" s="256"/>
      <c r="T211" s="60"/>
      <c r="U211" s="60"/>
      <c r="V211" s="60"/>
      <c r="W211" s="60"/>
      <c r="X211" s="60"/>
      <c r="Y211" s="60"/>
      <c r="Z211" s="60"/>
    </row>
    <row r="212" spans="1:26" ht="18">
      <c r="A212" s="60"/>
      <c r="B212" s="60"/>
      <c r="C212" s="178"/>
      <c r="D212" s="178"/>
      <c r="E212" s="178"/>
      <c r="F212" s="60"/>
      <c r="G212" s="60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60"/>
      <c r="U212" s="60"/>
      <c r="V212" s="60"/>
      <c r="W212" s="60"/>
      <c r="X212" s="60"/>
      <c r="Y212" s="60"/>
      <c r="Z212" s="60"/>
    </row>
    <row r="213" spans="1:26" ht="18">
      <c r="A213" s="60"/>
      <c r="B213" s="60"/>
      <c r="C213" s="178"/>
      <c r="D213" s="178"/>
      <c r="E213" s="178"/>
      <c r="F213" s="60"/>
      <c r="G213" s="60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60"/>
      <c r="U213" s="60"/>
      <c r="V213" s="60"/>
      <c r="W213" s="60"/>
      <c r="X213" s="60"/>
      <c r="Y213" s="60"/>
      <c r="Z213" s="60"/>
    </row>
    <row r="214" spans="1:26" ht="18">
      <c r="A214" s="60"/>
      <c r="B214" s="60"/>
      <c r="C214" s="178"/>
      <c r="D214" s="178"/>
      <c r="E214" s="178"/>
      <c r="F214" s="60"/>
      <c r="G214" s="60"/>
      <c r="H214" s="256"/>
      <c r="I214" s="256"/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60"/>
      <c r="U214" s="60"/>
      <c r="V214" s="60"/>
      <c r="W214" s="60"/>
      <c r="X214" s="60"/>
      <c r="Y214" s="60"/>
      <c r="Z214" s="60"/>
    </row>
    <row r="215" spans="1:26" ht="18">
      <c r="A215" s="60"/>
      <c r="B215" s="60"/>
      <c r="C215" s="178"/>
      <c r="D215" s="178"/>
      <c r="E215" s="178"/>
      <c r="F215" s="60"/>
      <c r="G215" s="60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60"/>
      <c r="U215" s="60"/>
      <c r="V215" s="60"/>
      <c r="W215" s="60"/>
      <c r="X215" s="60"/>
      <c r="Y215" s="60"/>
      <c r="Z215" s="60"/>
    </row>
    <row r="216" spans="1:26" ht="18">
      <c r="A216" s="60"/>
      <c r="B216" s="60"/>
      <c r="C216" s="178"/>
      <c r="D216" s="178"/>
      <c r="E216" s="178"/>
      <c r="F216" s="60"/>
      <c r="G216" s="60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60"/>
      <c r="U216" s="60"/>
      <c r="V216" s="60"/>
      <c r="W216" s="60"/>
      <c r="X216" s="60"/>
      <c r="Y216" s="60"/>
      <c r="Z216" s="60"/>
    </row>
    <row r="217" spans="1:26" ht="18">
      <c r="A217" s="60"/>
      <c r="B217" s="60"/>
      <c r="C217" s="178"/>
      <c r="D217" s="178"/>
      <c r="E217" s="178"/>
      <c r="F217" s="60"/>
      <c r="G217" s="60"/>
    </row>
    <row r="218" spans="1:26" ht="18">
      <c r="A218" s="60"/>
      <c r="B218" s="60"/>
      <c r="C218" s="178"/>
      <c r="D218" s="178"/>
      <c r="E218" s="178"/>
      <c r="F218" s="60"/>
      <c r="G218" s="60"/>
    </row>
    <row r="219" spans="1:26" ht="18">
      <c r="A219" s="60"/>
      <c r="B219" s="60"/>
      <c r="C219" s="178"/>
      <c r="D219" s="178"/>
      <c r="E219" s="178"/>
      <c r="F219" s="60"/>
      <c r="G219" s="60"/>
    </row>
    <row r="220" spans="1:26" ht="18">
      <c r="A220" s="60"/>
      <c r="B220" s="60"/>
      <c r="C220" s="178"/>
      <c r="D220" s="178"/>
      <c r="E220" s="178"/>
      <c r="F220" s="60"/>
      <c r="G220" s="60"/>
    </row>
    <row r="221" spans="1:26" ht="18">
      <c r="A221" s="60"/>
      <c r="B221" s="60"/>
      <c r="C221" s="178"/>
      <c r="D221" s="178"/>
      <c r="E221" s="178"/>
      <c r="F221" s="60"/>
      <c r="G221" s="60"/>
    </row>
    <row r="222" spans="1:26" ht="18">
      <c r="A222" s="60"/>
      <c r="B222" s="60"/>
      <c r="C222" s="178"/>
      <c r="D222" s="178"/>
      <c r="E222" s="178"/>
      <c r="F222" s="60"/>
      <c r="G222" s="60"/>
    </row>
    <row r="223" spans="1:26" ht="18">
      <c r="A223" s="60"/>
      <c r="B223" s="60"/>
      <c r="C223" s="178"/>
      <c r="D223" s="178"/>
      <c r="E223" s="178"/>
      <c r="F223" s="60"/>
      <c r="G223" s="60"/>
    </row>
    <row r="224" spans="1:26" ht="18">
      <c r="A224" s="60"/>
      <c r="B224" s="60"/>
      <c r="C224" s="178"/>
      <c r="D224" s="178"/>
      <c r="E224" s="178"/>
      <c r="F224" s="60"/>
      <c r="G224" s="60"/>
    </row>
    <row r="225" spans="1:7" ht="18">
      <c r="A225" s="60"/>
      <c r="B225" s="60"/>
      <c r="C225" s="178"/>
      <c r="D225" s="178"/>
      <c r="E225" s="178"/>
      <c r="F225" s="60"/>
      <c r="G225" s="60"/>
    </row>
    <row r="226" spans="1:7" ht="18">
      <c r="A226" s="60"/>
      <c r="B226" s="60"/>
      <c r="C226" s="178"/>
      <c r="D226" s="178"/>
      <c r="E226" s="178"/>
      <c r="F226" s="60"/>
      <c r="G226" s="60"/>
    </row>
    <row r="227" spans="1:7" ht="18">
      <c r="A227" s="60"/>
      <c r="B227" s="60"/>
      <c r="C227" s="178"/>
      <c r="D227" s="178"/>
      <c r="E227" s="178"/>
      <c r="F227" s="60"/>
      <c r="G227" s="60"/>
    </row>
    <row r="228" spans="1:7" ht="18">
      <c r="A228" s="60"/>
      <c r="B228" s="60"/>
      <c r="C228" s="178"/>
      <c r="D228" s="178"/>
      <c r="E228" s="178"/>
      <c r="F228" s="60"/>
      <c r="G228" s="60"/>
    </row>
    <row r="229" spans="1:7" ht="18">
      <c r="A229" s="60"/>
      <c r="B229" s="60"/>
      <c r="C229" s="178"/>
      <c r="D229" s="178"/>
      <c r="E229" s="178"/>
      <c r="F229" s="60"/>
      <c r="G229" s="60"/>
    </row>
    <row r="230" spans="1:7" ht="18">
      <c r="A230" s="60"/>
      <c r="B230" s="60"/>
      <c r="C230" s="178"/>
      <c r="D230" s="178"/>
      <c r="E230" s="178"/>
      <c r="F230" s="60"/>
      <c r="G230" s="60"/>
    </row>
    <row r="231" spans="1:7" ht="18">
      <c r="A231" s="60"/>
      <c r="B231" s="60"/>
      <c r="C231" s="178"/>
      <c r="D231" s="178"/>
      <c r="E231" s="178"/>
      <c r="F231" s="60"/>
      <c r="G231" s="60"/>
    </row>
    <row r="232" spans="1:7" ht="18">
      <c r="A232" s="60"/>
      <c r="B232" s="60"/>
      <c r="C232" s="178"/>
      <c r="D232" s="178"/>
      <c r="E232" s="178"/>
      <c r="F232" s="60"/>
      <c r="G232" s="60"/>
    </row>
    <row r="233" spans="1:7" ht="18">
      <c r="A233" s="60"/>
      <c r="B233" s="60"/>
      <c r="C233" s="178"/>
      <c r="D233" s="178"/>
      <c r="E233" s="178"/>
      <c r="F233" s="60"/>
      <c r="G233" s="60"/>
    </row>
    <row r="234" spans="1:7" ht="18">
      <c r="A234" s="60"/>
      <c r="B234" s="60"/>
      <c r="C234" s="178"/>
      <c r="D234" s="178"/>
      <c r="E234" s="178"/>
      <c r="F234" s="60"/>
      <c r="G234" s="60"/>
    </row>
    <row r="235" spans="1:7" ht="18">
      <c r="A235" s="60"/>
      <c r="B235" s="60"/>
      <c r="C235" s="178"/>
      <c r="D235" s="178"/>
      <c r="E235" s="178"/>
      <c r="F235" s="60"/>
      <c r="G235" s="60"/>
    </row>
    <row r="236" spans="1:7" ht="18">
      <c r="A236" s="60"/>
      <c r="B236" s="60"/>
      <c r="C236" s="178"/>
      <c r="D236" s="178"/>
      <c r="E236" s="178"/>
      <c r="F236" s="60"/>
      <c r="G236" s="60"/>
    </row>
    <row r="237" spans="1:7" ht="18">
      <c r="A237" s="60"/>
      <c r="B237" s="60"/>
      <c r="C237" s="178"/>
      <c r="D237" s="178"/>
      <c r="E237" s="178"/>
      <c r="F237" s="60"/>
      <c r="G237" s="60"/>
    </row>
    <row r="238" spans="1:7" ht="18">
      <c r="A238" s="60"/>
      <c r="B238" s="60"/>
      <c r="C238" s="178"/>
      <c r="D238" s="178"/>
      <c r="E238" s="178"/>
      <c r="F238" s="60"/>
      <c r="G238" s="60"/>
    </row>
    <row r="239" spans="1:7" ht="18">
      <c r="A239" s="60"/>
      <c r="B239" s="60"/>
      <c r="C239" s="178"/>
      <c r="D239" s="178"/>
      <c r="E239" s="178"/>
      <c r="F239" s="60"/>
      <c r="G239" s="60"/>
    </row>
    <row r="240" spans="1:7" ht="18">
      <c r="A240" s="60"/>
      <c r="B240" s="60"/>
      <c r="C240" s="178"/>
      <c r="D240" s="178"/>
      <c r="E240" s="178"/>
      <c r="F240" s="60"/>
      <c r="G240" s="60"/>
    </row>
    <row r="241" spans="1:7" ht="18">
      <c r="A241" s="60"/>
      <c r="B241" s="60"/>
      <c r="C241" s="178"/>
      <c r="D241" s="178"/>
      <c r="E241" s="178"/>
      <c r="F241" s="60"/>
      <c r="G241" s="60"/>
    </row>
    <row r="242" spans="1:7" ht="18">
      <c r="A242" s="60"/>
      <c r="B242" s="60"/>
      <c r="C242" s="178"/>
      <c r="D242" s="178"/>
      <c r="E242" s="178"/>
      <c r="F242" s="60"/>
      <c r="G242" s="60"/>
    </row>
    <row r="243" spans="1:7" ht="18">
      <c r="A243" s="60"/>
      <c r="B243" s="60"/>
      <c r="C243" s="178"/>
      <c r="D243" s="178"/>
      <c r="E243" s="178"/>
      <c r="F243" s="60"/>
      <c r="G243" s="60"/>
    </row>
    <row r="244" spans="1:7" ht="18">
      <c r="A244" s="60"/>
      <c r="B244" s="60"/>
      <c r="C244" s="178"/>
      <c r="D244" s="178"/>
      <c r="E244" s="178"/>
      <c r="F244" s="60"/>
      <c r="G244" s="60"/>
    </row>
    <row r="245" spans="1:7" ht="18">
      <c r="A245" s="60"/>
      <c r="B245" s="60"/>
      <c r="C245" s="178"/>
      <c r="D245" s="178"/>
      <c r="E245" s="178"/>
      <c r="F245" s="60"/>
      <c r="G245" s="60"/>
    </row>
    <row r="246" spans="1:7" ht="18">
      <c r="A246" s="60"/>
      <c r="B246" s="60"/>
      <c r="C246" s="178"/>
      <c r="D246" s="178"/>
      <c r="E246" s="178"/>
      <c r="F246" s="60"/>
      <c r="G246" s="60"/>
    </row>
    <row r="247" spans="1:7" ht="18">
      <c r="A247" s="60"/>
      <c r="B247" s="60"/>
      <c r="C247" s="178"/>
      <c r="D247" s="178"/>
      <c r="E247" s="178"/>
      <c r="F247" s="60"/>
      <c r="G247" s="60"/>
    </row>
    <row r="248" spans="1:7" ht="18">
      <c r="A248" s="60"/>
      <c r="B248" s="60"/>
      <c r="C248" s="178"/>
      <c r="D248" s="178"/>
      <c r="E248" s="178"/>
      <c r="F248" s="60"/>
      <c r="G248" s="60"/>
    </row>
    <row r="249" spans="1:7" ht="18">
      <c r="A249" s="60"/>
      <c r="B249" s="60"/>
      <c r="C249" s="178"/>
      <c r="D249" s="178"/>
      <c r="E249" s="178"/>
      <c r="F249" s="60"/>
      <c r="G249" s="60"/>
    </row>
    <row r="250" spans="1:7" ht="18">
      <c r="A250" s="60"/>
      <c r="B250" s="60"/>
      <c r="C250" s="178"/>
      <c r="D250" s="178"/>
      <c r="E250" s="178"/>
      <c r="F250" s="60"/>
      <c r="G250" s="60"/>
    </row>
    <row r="251" spans="1:7" ht="18">
      <c r="A251" s="60"/>
      <c r="B251" s="60"/>
      <c r="C251" s="178"/>
      <c r="D251" s="178"/>
      <c r="E251" s="178"/>
      <c r="F251" s="60"/>
      <c r="G251" s="60"/>
    </row>
    <row r="252" spans="1:7" ht="18">
      <c r="A252" s="60"/>
      <c r="B252" s="60"/>
      <c r="C252" s="178"/>
      <c r="D252" s="178"/>
      <c r="E252" s="178"/>
      <c r="F252" s="60"/>
      <c r="G252" s="60"/>
    </row>
    <row r="253" spans="1:7" ht="18">
      <c r="A253" s="60"/>
      <c r="B253" s="60"/>
      <c r="C253" s="178"/>
      <c r="D253" s="178"/>
      <c r="E253" s="178"/>
      <c r="F253" s="60"/>
      <c r="G253" s="60"/>
    </row>
    <row r="254" spans="1:7" ht="18">
      <c r="A254" s="60"/>
      <c r="B254" s="60"/>
      <c r="C254" s="178"/>
      <c r="D254" s="178"/>
      <c r="E254" s="178"/>
      <c r="F254" s="60"/>
      <c r="G254" s="60"/>
    </row>
    <row r="255" spans="1:7" ht="18">
      <c r="A255" s="60"/>
      <c r="B255" s="60"/>
      <c r="C255" s="178"/>
      <c r="D255" s="178"/>
      <c r="E255" s="178"/>
      <c r="F255" s="60"/>
      <c r="G255" s="60"/>
    </row>
    <row r="256" spans="1:7" ht="18">
      <c r="A256" s="60"/>
      <c r="B256" s="60"/>
      <c r="C256" s="178"/>
      <c r="D256" s="178"/>
      <c r="E256" s="178"/>
      <c r="F256" s="60"/>
      <c r="G256" s="60"/>
    </row>
    <row r="257" spans="1:7" ht="18">
      <c r="A257" s="60"/>
      <c r="B257" s="60"/>
      <c r="C257" s="178"/>
      <c r="D257" s="178"/>
      <c r="E257" s="178"/>
      <c r="F257" s="60"/>
      <c r="G257" s="60"/>
    </row>
    <row r="258" spans="1:7" ht="18">
      <c r="A258" s="60"/>
      <c r="B258" s="60"/>
      <c r="C258" s="178"/>
      <c r="D258" s="178"/>
      <c r="E258" s="178"/>
      <c r="F258" s="60"/>
      <c r="G258" s="60"/>
    </row>
    <row r="259" spans="1:7" ht="18">
      <c r="A259" s="60"/>
      <c r="B259" s="60"/>
      <c r="C259" s="178"/>
      <c r="D259" s="178"/>
      <c r="E259" s="178"/>
      <c r="F259" s="60"/>
      <c r="G259" s="60"/>
    </row>
    <row r="260" spans="1:7" ht="18">
      <c r="A260" s="60"/>
      <c r="B260" s="60"/>
      <c r="C260" s="178"/>
      <c r="D260" s="178"/>
      <c r="E260" s="178"/>
      <c r="F260" s="60"/>
      <c r="G260" s="60"/>
    </row>
    <row r="261" spans="1:7" ht="18">
      <c r="A261" s="60"/>
      <c r="B261" s="60"/>
      <c r="C261" s="178"/>
      <c r="D261" s="178"/>
      <c r="E261" s="178"/>
      <c r="F261" s="60"/>
      <c r="G261" s="60"/>
    </row>
    <row r="262" spans="1:7" ht="18">
      <c r="A262" s="60"/>
      <c r="B262" s="60"/>
      <c r="C262" s="178"/>
      <c r="D262" s="178"/>
      <c r="E262" s="178"/>
      <c r="F262" s="60"/>
      <c r="G262" s="60"/>
    </row>
    <row r="263" spans="1:7" ht="18">
      <c r="A263" s="60"/>
      <c r="B263" s="60"/>
      <c r="C263" s="178"/>
      <c r="D263" s="178"/>
      <c r="E263" s="178"/>
      <c r="F263" s="60"/>
      <c r="G263" s="60"/>
    </row>
    <row r="264" spans="1:7" ht="18">
      <c r="A264" s="60"/>
      <c r="B264" s="60"/>
      <c r="C264" s="178"/>
      <c r="D264" s="178"/>
      <c r="E264" s="178"/>
      <c r="F264" s="60"/>
      <c r="G264" s="60"/>
    </row>
    <row r="265" spans="1:7" ht="18">
      <c r="A265" s="60"/>
      <c r="B265" s="60"/>
      <c r="C265" s="178"/>
      <c r="D265" s="178"/>
      <c r="E265" s="178"/>
      <c r="F265" s="60"/>
      <c r="G265" s="60"/>
    </row>
    <row r="266" spans="1:7" ht="18">
      <c r="A266" s="60"/>
      <c r="B266" s="60"/>
      <c r="C266" s="178"/>
      <c r="D266" s="178"/>
      <c r="E266" s="178"/>
      <c r="F266" s="60"/>
      <c r="G266" s="60"/>
    </row>
    <row r="267" spans="1:7" ht="18">
      <c r="A267" s="60"/>
      <c r="B267" s="60"/>
      <c r="C267" s="178"/>
      <c r="D267" s="178"/>
      <c r="E267" s="178"/>
      <c r="F267" s="60"/>
      <c r="G267" s="60"/>
    </row>
    <row r="268" spans="1:7" ht="18">
      <c r="A268" s="60"/>
      <c r="B268" s="60"/>
      <c r="C268" s="178"/>
      <c r="D268" s="178"/>
      <c r="E268" s="178"/>
      <c r="F268" s="60"/>
      <c r="G268" s="60"/>
    </row>
    <row r="269" spans="1:7" ht="18">
      <c r="A269" s="60"/>
      <c r="B269" s="60"/>
      <c r="C269" s="178"/>
      <c r="D269" s="178"/>
      <c r="E269" s="178"/>
      <c r="F269" s="60"/>
      <c r="G269" s="60"/>
    </row>
    <row r="270" spans="1:7" ht="18">
      <c r="A270" s="60"/>
      <c r="B270" s="60"/>
      <c r="C270" s="178"/>
      <c r="D270" s="178"/>
      <c r="E270" s="178"/>
      <c r="F270" s="60"/>
      <c r="G270" s="60"/>
    </row>
    <row r="271" spans="1:7" ht="18">
      <c r="A271" s="60"/>
      <c r="B271" s="60"/>
      <c r="C271" s="178"/>
      <c r="D271" s="178"/>
      <c r="E271" s="178"/>
      <c r="F271" s="60"/>
      <c r="G271" s="60"/>
    </row>
    <row r="272" spans="1:7" ht="18">
      <c r="A272" s="60"/>
      <c r="B272" s="60"/>
      <c r="C272" s="178"/>
      <c r="D272" s="178"/>
      <c r="E272" s="178"/>
      <c r="F272" s="60"/>
      <c r="G272" s="60"/>
    </row>
    <row r="273" spans="1:7" ht="18">
      <c r="A273" s="60"/>
      <c r="B273" s="60"/>
      <c r="C273" s="178"/>
      <c r="D273" s="178"/>
      <c r="E273" s="178"/>
      <c r="F273" s="60"/>
      <c r="G273" s="60"/>
    </row>
    <row r="274" spans="1:7" ht="18">
      <c r="A274" s="60"/>
      <c r="B274" s="60"/>
      <c r="C274" s="178"/>
      <c r="D274" s="178"/>
      <c r="E274" s="178"/>
      <c r="F274" s="60"/>
      <c r="G274" s="60"/>
    </row>
    <row r="275" spans="1:7" ht="18">
      <c r="A275" s="60"/>
      <c r="B275" s="60"/>
      <c r="C275" s="178"/>
      <c r="D275" s="178"/>
      <c r="E275" s="178"/>
      <c r="F275" s="60"/>
      <c r="G275" s="60"/>
    </row>
    <row r="276" spans="1:7" ht="18">
      <c r="A276" s="60"/>
      <c r="B276" s="60"/>
      <c r="C276" s="178"/>
      <c r="D276" s="178"/>
      <c r="E276" s="178"/>
      <c r="F276" s="60"/>
      <c r="G276" s="60"/>
    </row>
    <row r="277" spans="1:7" ht="18">
      <c r="A277" s="60"/>
      <c r="B277" s="60"/>
      <c r="C277" s="178"/>
      <c r="D277" s="178"/>
      <c r="E277" s="178"/>
      <c r="F277" s="60"/>
      <c r="G277" s="60"/>
    </row>
    <row r="278" spans="1:7" ht="18">
      <c r="A278" s="60"/>
      <c r="B278" s="60"/>
      <c r="C278" s="178"/>
      <c r="D278" s="178"/>
      <c r="E278" s="178"/>
      <c r="F278" s="60"/>
      <c r="G278" s="60"/>
    </row>
    <row r="279" spans="1:7" ht="18">
      <c r="A279" s="60"/>
      <c r="B279" s="60"/>
      <c r="C279" s="178"/>
      <c r="D279" s="178"/>
      <c r="E279" s="178"/>
      <c r="F279" s="60"/>
      <c r="G279" s="60"/>
    </row>
    <row r="280" spans="1:7" ht="18">
      <c r="A280" s="60"/>
      <c r="B280" s="60"/>
      <c r="C280" s="178"/>
      <c r="D280" s="178"/>
      <c r="E280" s="178"/>
      <c r="F280" s="60"/>
      <c r="G280" s="60"/>
    </row>
    <row r="281" spans="1:7" ht="18">
      <c r="A281" s="60"/>
      <c r="B281" s="60"/>
      <c r="C281" s="178"/>
      <c r="D281" s="178"/>
      <c r="E281" s="178"/>
      <c r="F281" s="60"/>
      <c r="G281" s="60"/>
    </row>
    <row r="282" spans="1:7" ht="18">
      <c r="A282" s="60"/>
      <c r="B282" s="60"/>
      <c r="C282" s="178"/>
      <c r="D282" s="178"/>
      <c r="E282" s="178"/>
      <c r="F282" s="60"/>
      <c r="G282" s="60"/>
    </row>
    <row r="283" spans="1:7" ht="18">
      <c r="A283" s="60"/>
      <c r="B283" s="60"/>
      <c r="C283" s="178"/>
      <c r="D283" s="178"/>
      <c r="E283" s="178"/>
      <c r="F283" s="60"/>
      <c r="G283" s="60"/>
    </row>
    <row r="284" spans="1:7" ht="18">
      <c r="A284" s="60"/>
      <c r="B284" s="60"/>
      <c r="C284" s="178"/>
      <c r="D284" s="178"/>
      <c r="E284" s="178"/>
      <c r="F284" s="60"/>
      <c r="G284" s="60"/>
    </row>
    <row r="285" spans="1:7" ht="18">
      <c r="A285" s="60"/>
      <c r="B285" s="60"/>
      <c r="C285" s="178"/>
      <c r="D285" s="178"/>
      <c r="E285" s="178"/>
      <c r="F285" s="60"/>
      <c r="G285" s="60"/>
    </row>
    <row r="286" spans="1:7" ht="18">
      <c r="A286" s="60"/>
      <c r="B286" s="60"/>
      <c r="C286" s="178"/>
      <c r="D286" s="178"/>
      <c r="E286" s="178"/>
      <c r="F286" s="60"/>
      <c r="G286" s="60"/>
    </row>
    <row r="287" spans="1:7" ht="18">
      <c r="A287" s="60"/>
      <c r="B287" s="60"/>
      <c r="C287" s="178"/>
      <c r="D287" s="178"/>
      <c r="E287" s="178"/>
      <c r="F287" s="60"/>
      <c r="G287" s="60"/>
    </row>
    <row r="288" spans="1:7" ht="18">
      <c r="A288" s="60"/>
      <c r="B288" s="60"/>
      <c r="C288" s="178"/>
      <c r="D288" s="178"/>
      <c r="E288" s="178"/>
      <c r="F288" s="60"/>
      <c r="G288" s="60"/>
    </row>
    <row r="289" spans="1:7" ht="18">
      <c r="A289" s="60"/>
      <c r="B289" s="60"/>
      <c r="C289" s="178"/>
      <c r="D289" s="178"/>
      <c r="E289" s="178"/>
      <c r="F289" s="60"/>
      <c r="G289" s="60"/>
    </row>
    <row r="290" spans="1:7" ht="18">
      <c r="A290" s="60"/>
      <c r="B290" s="60"/>
      <c r="C290" s="178"/>
      <c r="D290" s="178"/>
      <c r="E290" s="178"/>
      <c r="F290" s="60"/>
      <c r="G290" s="60"/>
    </row>
    <row r="291" spans="1:7" ht="18">
      <c r="A291" s="60"/>
      <c r="B291" s="60"/>
      <c r="C291" s="178"/>
      <c r="D291" s="178"/>
      <c r="E291" s="178"/>
      <c r="F291" s="60"/>
      <c r="G291" s="60"/>
    </row>
    <row r="292" spans="1:7" ht="18">
      <c r="A292" s="60"/>
      <c r="B292" s="60"/>
      <c r="C292" s="178"/>
      <c r="D292" s="178"/>
      <c r="E292" s="178"/>
      <c r="F292" s="60"/>
      <c r="G292" s="60"/>
    </row>
    <row r="293" spans="1:7" ht="18">
      <c r="A293" s="60"/>
      <c r="B293" s="60"/>
      <c r="C293" s="178"/>
      <c r="D293" s="178"/>
      <c r="E293" s="178"/>
      <c r="F293" s="60"/>
      <c r="G293" s="60"/>
    </row>
    <row r="294" spans="1:7" ht="18">
      <c r="A294" s="60"/>
      <c r="B294" s="60"/>
      <c r="C294" s="178"/>
      <c r="D294" s="178"/>
      <c r="E294" s="178"/>
      <c r="F294" s="60"/>
      <c r="G294" s="60"/>
    </row>
    <row r="295" spans="1:7" ht="18">
      <c r="A295" s="60"/>
      <c r="B295" s="60"/>
      <c r="C295" s="178"/>
      <c r="D295" s="178"/>
      <c r="E295" s="178"/>
      <c r="F295" s="60"/>
      <c r="G295" s="60"/>
    </row>
    <row r="296" spans="1:7" ht="18">
      <c r="A296" s="60"/>
      <c r="B296" s="60"/>
      <c r="C296" s="178"/>
      <c r="D296" s="178"/>
      <c r="E296" s="178"/>
      <c r="F296" s="60"/>
      <c r="G296" s="60"/>
    </row>
    <row r="297" spans="1:7" ht="18">
      <c r="A297" s="60"/>
      <c r="B297" s="60"/>
      <c r="C297" s="178"/>
      <c r="D297" s="178"/>
      <c r="E297" s="178"/>
      <c r="F297" s="60"/>
      <c r="G297" s="60"/>
    </row>
    <row r="298" spans="1:7" ht="18">
      <c r="A298" s="60"/>
      <c r="B298" s="60"/>
      <c r="C298" s="178"/>
      <c r="D298" s="178"/>
      <c r="E298" s="178"/>
      <c r="F298" s="60"/>
      <c r="G298" s="60"/>
    </row>
    <row r="299" spans="1:7" ht="18">
      <c r="A299" s="60"/>
      <c r="B299" s="60"/>
      <c r="C299" s="178"/>
      <c r="D299" s="178"/>
      <c r="E299" s="178"/>
      <c r="F299" s="60"/>
      <c r="G299" s="60"/>
    </row>
    <row r="300" spans="1:7" ht="18">
      <c r="A300" s="60"/>
      <c r="B300" s="60"/>
      <c r="C300" s="178"/>
      <c r="D300" s="178"/>
      <c r="E300" s="178"/>
      <c r="F300" s="60"/>
      <c r="G300" s="60"/>
    </row>
    <row r="301" spans="1:7" ht="18">
      <c r="A301" s="60"/>
      <c r="B301" s="60"/>
      <c r="C301" s="178"/>
      <c r="D301" s="178"/>
      <c r="E301" s="178"/>
      <c r="F301" s="60"/>
      <c r="G301" s="60"/>
    </row>
    <row r="302" spans="1:7" ht="18">
      <c r="A302" s="60"/>
      <c r="B302" s="60"/>
      <c r="C302" s="178"/>
      <c r="D302" s="178"/>
      <c r="E302" s="178"/>
      <c r="F302" s="60"/>
      <c r="G302" s="60"/>
    </row>
    <row r="303" spans="1:7" ht="18">
      <c r="A303" s="60"/>
      <c r="B303" s="60"/>
      <c r="C303" s="178"/>
      <c r="D303" s="178"/>
      <c r="E303" s="178"/>
      <c r="F303" s="60"/>
      <c r="G303" s="60"/>
    </row>
    <row r="304" spans="1:7" ht="18">
      <c r="A304" s="60"/>
      <c r="B304" s="60"/>
      <c r="C304" s="178"/>
      <c r="D304" s="178"/>
      <c r="E304" s="178"/>
      <c r="F304" s="60"/>
      <c r="G304" s="60"/>
    </row>
    <row r="305" spans="1:7" ht="18">
      <c r="A305" s="60"/>
      <c r="B305" s="60"/>
      <c r="C305" s="178"/>
      <c r="D305" s="178"/>
      <c r="E305" s="178"/>
      <c r="F305" s="60"/>
      <c r="G305" s="60"/>
    </row>
    <row r="306" spans="1:7" ht="18">
      <c r="A306" s="60"/>
      <c r="B306" s="60"/>
      <c r="C306" s="178"/>
      <c r="D306" s="178"/>
      <c r="E306" s="178"/>
      <c r="F306" s="60"/>
      <c r="G306" s="60"/>
    </row>
    <row r="307" spans="1:7" ht="18">
      <c r="A307" s="60"/>
      <c r="B307" s="60"/>
      <c r="C307" s="178"/>
      <c r="D307" s="178"/>
      <c r="E307" s="178"/>
      <c r="F307" s="60"/>
      <c r="G307" s="60"/>
    </row>
    <row r="308" spans="1:7" ht="18">
      <c r="A308" s="60"/>
      <c r="B308" s="60"/>
      <c r="C308" s="178"/>
      <c r="D308" s="178"/>
      <c r="E308" s="178"/>
      <c r="F308" s="60"/>
      <c r="G308" s="60"/>
    </row>
    <row r="309" spans="1:7" ht="18">
      <c r="A309" s="60"/>
      <c r="B309" s="60"/>
      <c r="C309" s="178"/>
      <c r="D309" s="178"/>
      <c r="E309" s="178"/>
      <c r="F309" s="60"/>
      <c r="G309" s="60"/>
    </row>
    <row r="310" spans="1:7" ht="18">
      <c r="A310" s="60"/>
      <c r="B310" s="60"/>
      <c r="C310" s="178"/>
      <c r="D310" s="178"/>
      <c r="E310" s="178"/>
      <c r="F310" s="60"/>
      <c r="G310" s="60"/>
    </row>
    <row r="311" spans="1:7" ht="18">
      <c r="A311" s="60"/>
      <c r="B311" s="60"/>
      <c r="C311" s="178"/>
      <c r="D311" s="178"/>
      <c r="E311" s="178"/>
      <c r="F311" s="60"/>
      <c r="G311" s="60"/>
    </row>
    <row r="312" spans="1:7" ht="18">
      <c r="A312" s="60"/>
      <c r="B312" s="60"/>
      <c r="C312" s="178"/>
      <c r="D312" s="178"/>
      <c r="E312" s="178"/>
      <c r="F312" s="60"/>
      <c r="G312" s="60"/>
    </row>
    <row r="313" spans="1:7" ht="18">
      <c r="A313" s="60"/>
      <c r="B313" s="60"/>
      <c r="C313" s="178"/>
      <c r="D313" s="178"/>
      <c r="E313" s="178"/>
      <c r="F313" s="60"/>
      <c r="G313" s="60"/>
    </row>
    <row r="314" spans="1:7" ht="18">
      <c r="A314" s="60"/>
      <c r="B314" s="60"/>
      <c r="C314" s="178"/>
      <c r="D314" s="178"/>
      <c r="E314" s="178"/>
      <c r="F314" s="60"/>
      <c r="G314" s="60"/>
    </row>
    <row r="315" spans="1:7" ht="18">
      <c r="A315" s="60"/>
      <c r="B315" s="60"/>
      <c r="C315" s="178"/>
      <c r="D315" s="178"/>
      <c r="E315" s="178"/>
      <c r="F315" s="60"/>
      <c r="G315" s="60"/>
    </row>
    <row r="316" spans="1:7" ht="18">
      <c r="A316" s="60"/>
      <c r="B316" s="60"/>
      <c r="C316" s="178"/>
      <c r="D316" s="178"/>
      <c r="E316" s="178"/>
      <c r="F316" s="60"/>
      <c r="G316" s="60"/>
    </row>
    <row r="317" spans="1:7" ht="18">
      <c r="A317" s="60"/>
      <c r="B317" s="60"/>
      <c r="C317" s="178"/>
      <c r="D317" s="178"/>
      <c r="E317" s="178"/>
      <c r="F317" s="60"/>
      <c r="G317" s="60"/>
    </row>
    <row r="318" spans="1:7" ht="18">
      <c r="A318" s="60"/>
      <c r="B318" s="60"/>
      <c r="C318" s="178"/>
      <c r="D318" s="178"/>
      <c r="E318" s="178"/>
      <c r="F318" s="60"/>
      <c r="G318" s="60"/>
    </row>
    <row r="319" spans="1:7" ht="18">
      <c r="A319" s="60"/>
      <c r="B319" s="60"/>
      <c r="C319" s="178"/>
      <c r="D319" s="178"/>
      <c r="E319" s="178"/>
      <c r="F319" s="60"/>
      <c r="G319" s="60"/>
    </row>
    <row r="320" spans="1:7" ht="18">
      <c r="A320" s="60"/>
      <c r="B320" s="60"/>
      <c r="C320" s="178"/>
      <c r="D320" s="178"/>
      <c r="E320" s="178"/>
      <c r="F320" s="60"/>
      <c r="G320" s="60"/>
    </row>
    <row r="321" spans="1:7" ht="18">
      <c r="A321" s="60"/>
      <c r="B321" s="60"/>
      <c r="C321" s="178"/>
      <c r="D321" s="178"/>
      <c r="E321" s="178"/>
      <c r="F321" s="60"/>
      <c r="G321" s="60"/>
    </row>
    <row r="322" spans="1:7" ht="18">
      <c r="A322" s="60"/>
      <c r="B322" s="60"/>
      <c r="C322" s="178"/>
      <c r="D322" s="178"/>
      <c r="E322" s="178"/>
      <c r="F322" s="60"/>
      <c r="G322" s="60"/>
    </row>
    <row r="323" spans="1:7" ht="18">
      <c r="A323" s="60"/>
      <c r="B323" s="60"/>
      <c r="C323" s="178"/>
      <c r="D323" s="178"/>
      <c r="E323" s="178"/>
      <c r="F323" s="60"/>
      <c r="G323" s="60"/>
    </row>
    <row r="324" spans="1:7" ht="18">
      <c r="A324" s="60"/>
      <c r="B324" s="60"/>
      <c r="C324" s="178"/>
      <c r="D324" s="178"/>
      <c r="E324" s="178"/>
      <c r="F324" s="60"/>
      <c r="G324" s="60"/>
    </row>
    <row r="325" spans="1:7" ht="18">
      <c r="A325" s="60"/>
      <c r="B325" s="60"/>
      <c r="C325" s="178"/>
      <c r="D325" s="178"/>
      <c r="E325" s="178"/>
      <c r="F325" s="60"/>
      <c r="G325" s="60"/>
    </row>
    <row r="326" spans="1:7" ht="18">
      <c r="A326" s="60"/>
      <c r="B326" s="60"/>
      <c r="C326" s="178"/>
      <c r="D326" s="178"/>
      <c r="E326" s="178"/>
      <c r="F326" s="60"/>
      <c r="G326" s="60"/>
    </row>
    <row r="327" spans="1:7" ht="18">
      <c r="A327" s="60"/>
      <c r="B327" s="60"/>
      <c r="C327" s="178"/>
      <c r="D327" s="178"/>
      <c r="E327" s="178"/>
      <c r="F327" s="60"/>
      <c r="G327" s="60"/>
    </row>
    <row r="328" spans="1:7" ht="18">
      <c r="A328" s="60"/>
      <c r="B328" s="60"/>
      <c r="C328" s="178"/>
      <c r="D328" s="178"/>
      <c r="E328" s="178"/>
      <c r="F328" s="60"/>
      <c r="G328" s="60"/>
    </row>
    <row r="329" spans="1:7" ht="18">
      <c r="A329" s="60"/>
      <c r="B329" s="60"/>
      <c r="C329" s="178"/>
      <c r="D329" s="178"/>
      <c r="E329" s="178"/>
      <c r="F329" s="60"/>
      <c r="G329" s="60"/>
    </row>
    <row r="330" spans="1:7" ht="18">
      <c r="A330" s="60"/>
      <c r="B330" s="60"/>
      <c r="C330" s="178"/>
      <c r="D330" s="178"/>
      <c r="E330" s="178"/>
      <c r="F330" s="60"/>
      <c r="G330" s="60"/>
    </row>
    <row r="331" spans="1:7" ht="18">
      <c r="A331" s="60"/>
      <c r="B331" s="60"/>
      <c r="C331" s="178"/>
      <c r="D331" s="178"/>
      <c r="E331" s="178"/>
      <c r="F331" s="60"/>
      <c r="G331" s="60"/>
    </row>
    <row r="332" spans="1:7" ht="18">
      <c r="A332" s="60"/>
      <c r="B332" s="60"/>
      <c r="C332" s="178"/>
      <c r="D332" s="178"/>
      <c r="E332" s="178"/>
      <c r="F332" s="60"/>
      <c r="G332" s="60"/>
    </row>
    <row r="333" spans="1:7" ht="18">
      <c r="A333" s="60"/>
      <c r="B333" s="60"/>
      <c r="C333" s="178"/>
      <c r="D333" s="178"/>
      <c r="E333" s="178"/>
      <c r="F333" s="60"/>
      <c r="G333" s="60"/>
    </row>
    <row r="334" spans="1:7" ht="18">
      <c r="A334" s="60"/>
      <c r="B334" s="60"/>
      <c r="C334" s="178"/>
      <c r="D334" s="178"/>
      <c r="E334" s="178"/>
      <c r="F334" s="60"/>
      <c r="G334" s="60"/>
    </row>
    <row r="335" spans="1:7" ht="18">
      <c r="A335" s="60"/>
      <c r="B335" s="60"/>
      <c r="C335" s="178"/>
      <c r="D335" s="178"/>
      <c r="E335" s="178"/>
      <c r="F335" s="60"/>
      <c r="G335" s="60"/>
    </row>
    <row r="336" spans="1:7" ht="18">
      <c r="A336" s="60"/>
      <c r="B336" s="60"/>
      <c r="C336" s="178"/>
      <c r="D336" s="178"/>
      <c r="E336" s="178"/>
      <c r="F336" s="60"/>
      <c r="G336" s="60"/>
    </row>
    <row r="337" spans="1:7" ht="18">
      <c r="A337" s="60"/>
      <c r="B337" s="60"/>
      <c r="C337" s="178"/>
      <c r="D337" s="178"/>
      <c r="E337" s="178"/>
      <c r="F337" s="60"/>
      <c r="G337" s="60"/>
    </row>
    <row r="338" spans="1:7" ht="18">
      <c r="A338" s="60"/>
      <c r="B338" s="60"/>
      <c r="C338" s="178"/>
      <c r="D338" s="178"/>
      <c r="E338" s="178"/>
      <c r="F338" s="60"/>
      <c r="G338" s="60"/>
    </row>
    <row r="339" spans="1:7" ht="18">
      <c r="A339" s="60"/>
      <c r="B339" s="60"/>
      <c r="C339" s="178"/>
      <c r="D339" s="178"/>
      <c r="E339" s="178"/>
      <c r="F339" s="60"/>
      <c r="G339" s="60"/>
    </row>
    <row r="340" spans="1:7" ht="18">
      <c r="A340" s="60"/>
      <c r="B340" s="60"/>
      <c r="C340" s="178"/>
      <c r="D340" s="178"/>
      <c r="E340" s="178"/>
      <c r="F340" s="60"/>
      <c r="G340" s="60"/>
    </row>
    <row r="341" spans="1:7" ht="18">
      <c r="A341" s="60"/>
      <c r="B341" s="60"/>
      <c r="C341" s="178"/>
      <c r="D341" s="178"/>
      <c r="E341" s="178"/>
      <c r="F341" s="60"/>
      <c r="G341" s="60"/>
    </row>
    <row r="342" spans="1:7" ht="18">
      <c r="A342" s="60"/>
      <c r="B342" s="60"/>
      <c r="C342" s="178"/>
      <c r="D342" s="178"/>
      <c r="E342" s="178"/>
      <c r="F342" s="60"/>
      <c r="G342" s="60"/>
    </row>
    <row r="343" spans="1:7" ht="18">
      <c r="A343" s="60"/>
      <c r="B343" s="60"/>
      <c r="C343" s="178"/>
      <c r="D343" s="178"/>
      <c r="E343" s="178"/>
      <c r="F343" s="60"/>
      <c r="G343" s="60"/>
    </row>
    <row r="344" spans="1:7" ht="18">
      <c r="A344" s="60"/>
      <c r="B344" s="60"/>
      <c r="C344" s="178"/>
      <c r="D344" s="178"/>
      <c r="E344" s="178"/>
      <c r="F344" s="60"/>
      <c r="G344" s="60"/>
    </row>
    <row r="345" spans="1:7" ht="18">
      <c r="A345" s="60"/>
      <c r="B345" s="60"/>
      <c r="C345" s="178"/>
      <c r="D345" s="178"/>
      <c r="E345" s="178"/>
      <c r="F345" s="60"/>
      <c r="G345" s="60"/>
    </row>
    <row r="346" spans="1:7" ht="18">
      <c r="A346" s="60"/>
      <c r="B346" s="60"/>
      <c r="C346" s="178"/>
      <c r="D346" s="178"/>
      <c r="E346" s="178"/>
      <c r="F346" s="60"/>
      <c r="G346" s="60"/>
    </row>
    <row r="347" spans="1:7" ht="18">
      <c r="A347" s="60"/>
      <c r="B347" s="60"/>
      <c r="C347" s="178"/>
      <c r="D347" s="178"/>
      <c r="E347" s="178"/>
      <c r="F347" s="60"/>
      <c r="G347" s="60"/>
    </row>
    <row r="348" spans="1:7" ht="18">
      <c r="A348" s="60"/>
      <c r="B348" s="60"/>
      <c r="C348" s="178"/>
      <c r="D348" s="178"/>
      <c r="E348" s="178"/>
      <c r="F348" s="60"/>
      <c r="G348" s="60"/>
    </row>
    <row r="349" spans="1:7" ht="18">
      <c r="A349" s="60"/>
      <c r="B349" s="60"/>
      <c r="C349" s="178"/>
      <c r="D349" s="178"/>
      <c r="E349" s="178"/>
      <c r="F349" s="60"/>
      <c r="G349" s="60"/>
    </row>
    <row r="350" spans="1:7" ht="18">
      <c r="A350" s="60"/>
      <c r="B350" s="60"/>
      <c r="C350" s="178"/>
      <c r="D350" s="178"/>
      <c r="E350" s="178"/>
      <c r="F350" s="60"/>
      <c r="G350" s="60"/>
    </row>
    <row r="351" spans="1:7" ht="18">
      <c r="A351" s="60"/>
      <c r="B351" s="60"/>
      <c r="C351" s="178"/>
      <c r="D351" s="178"/>
      <c r="E351" s="178"/>
      <c r="F351" s="60"/>
      <c r="G351" s="60"/>
    </row>
    <row r="352" spans="1:7" ht="18">
      <c r="A352" s="60"/>
      <c r="B352" s="60"/>
      <c r="C352" s="178"/>
      <c r="D352" s="178"/>
      <c r="E352" s="178"/>
      <c r="F352" s="60"/>
      <c r="G352" s="60"/>
    </row>
    <row r="353" spans="1:7" ht="18">
      <c r="A353" s="60"/>
      <c r="B353" s="60"/>
      <c r="C353" s="178"/>
      <c r="D353" s="178"/>
      <c r="E353" s="178"/>
      <c r="F353" s="60"/>
      <c r="G353" s="60"/>
    </row>
    <row r="354" spans="1:7" ht="18">
      <c r="A354" s="60"/>
      <c r="B354" s="60"/>
      <c r="C354" s="178"/>
      <c r="D354" s="178"/>
      <c r="E354" s="178"/>
      <c r="F354" s="60"/>
      <c r="G354" s="60"/>
    </row>
    <row r="355" spans="1:7" ht="18">
      <c r="A355" s="60"/>
      <c r="B355" s="60"/>
      <c r="C355" s="178"/>
      <c r="D355" s="178"/>
      <c r="E355" s="178"/>
      <c r="F355" s="60"/>
      <c r="G355" s="60"/>
    </row>
    <row r="356" spans="1:7" ht="18">
      <c r="A356" s="60"/>
      <c r="B356" s="60"/>
      <c r="C356" s="178"/>
      <c r="D356" s="178"/>
      <c r="E356" s="178"/>
      <c r="F356" s="60"/>
      <c r="G356" s="60"/>
    </row>
    <row r="357" spans="1:7">
      <c r="A357" s="65"/>
      <c r="B357" s="65"/>
      <c r="C357" s="65"/>
      <c r="D357" s="65"/>
      <c r="E357" s="65"/>
      <c r="F357" s="65"/>
      <c r="G357" s="65"/>
    </row>
    <row r="358" spans="1:7">
      <c r="A358" s="65"/>
      <c r="B358" s="65"/>
      <c r="C358" s="65"/>
      <c r="D358" s="65"/>
      <c r="E358" s="65"/>
      <c r="F358" s="65"/>
      <c r="G358" s="65"/>
    </row>
    <row r="359" spans="1:7">
      <c r="A359" s="65"/>
      <c r="B359" s="65"/>
      <c r="C359" s="65"/>
      <c r="D359" s="65"/>
      <c r="E359" s="65"/>
      <c r="F359" s="65"/>
      <c r="G359" s="65"/>
    </row>
    <row r="360" spans="1:7">
      <c r="A360" s="65"/>
      <c r="B360" s="65"/>
      <c r="C360" s="65"/>
      <c r="D360" s="65"/>
      <c r="E360" s="65"/>
      <c r="F360" s="65"/>
      <c r="G360" s="65"/>
    </row>
    <row r="361" spans="1:7">
      <c r="A361" s="65"/>
      <c r="B361" s="65"/>
      <c r="C361" s="65"/>
      <c r="D361" s="65"/>
      <c r="E361" s="65"/>
      <c r="F361" s="65"/>
      <c r="G361" s="65"/>
    </row>
    <row r="362" spans="1:7">
      <c r="A362" s="65"/>
      <c r="B362" s="65"/>
      <c r="C362" s="65"/>
      <c r="D362" s="65"/>
      <c r="E362" s="65"/>
      <c r="F362" s="65"/>
      <c r="G362" s="65"/>
    </row>
    <row r="363" spans="1:7">
      <c r="A363" s="65"/>
      <c r="B363" s="65"/>
      <c r="C363" s="65"/>
      <c r="D363" s="65"/>
      <c r="E363" s="65"/>
      <c r="F363" s="65"/>
      <c r="G363" s="65"/>
    </row>
    <row r="364" spans="1:7">
      <c r="A364" s="65"/>
      <c r="B364" s="65"/>
      <c r="C364" s="65"/>
      <c r="D364" s="65"/>
      <c r="E364" s="65"/>
      <c r="F364" s="65"/>
      <c r="G364" s="65"/>
    </row>
    <row r="365" spans="1:7">
      <c r="A365" s="65"/>
      <c r="B365" s="65"/>
      <c r="C365" s="65"/>
      <c r="D365" s="65"/>
      <c r="E365" s="65"/>
      <c r="F365" s="65"/>
      <c r="G365" s="65"/>
    </row>
    <row r="366" spans="1:7">
      <c r="A366" s="65"/>
      <c r="B366" s="65"/>
      <c r="C366" s="65"/>
      <c r="D366" s="65"/>
      <c r="E366" s="65"/>
      <c r="F366" s="65"/>
      <c r="G366" s="65"/>
    </row>
    <row r="367" spans="1:7">
      <c r="A367" s="65"/>
      <c r="B367" s="65"/>
      <c r="C367" s="65"/>
      <c r="D367" s="65"/>
      <c r="E367" s="65"/>
      <c r="F367" s="65"/>
      <c r="G367" s="65"/>
    </row>
    <row r="368" spans="1:7">
      <c r="A368" s="65"/>
      <c r="B368" s="65"/>
      <c r="C368" s="65"/>
      <c r="D368" s="65"/>
      <c r="E368" s="65"/>
      <c r="F368" s="65"/>
      <c r="G368" s="65"/>
    </row>
    <row r="369" spans="1:7">
      <c r="A369" s="65"/>
      <c r="B369" s="65"/>
      <c r="C369" s="65"/>
      <c r="D369" s="65"/>
      <c r="E369" s="65"/>
      <c r="F369" s="65"/>
      <c r="G369" s="65"/>
    </row>
    <row r="370" spans="1:7">
      <c r="A370" s="65"/>
      <c r="B370" s="65"/>
      <c r="C370" s="65"/>
      <c r="D370" s="65"/>
      <c r="E370" s="65"/>
      <c r="F370" s="65"/>
      <c r="G370" s="65"/>
    </row>
    <row r="371" spans="1:7">
      <c r="A371" s="65"/>
      <c r="B371" s="65"/>
      <c r="C371" s="65"/>
      <c r="D371" s="65"/>
      <c r="E371" s="65"/>
      <c r="F371" s="65"/>
      <c r="G371" s="65"/>
    </row>
    <row r="372" spans="1:7">
      <c r="A372" s="65"/>
      <c r="B372" s="65"/>
      <c r="C372" s="65"/>
      <c r="D372" s="65"/>
      <c r="E372" s="65"/>
      <c r="F372" s="65"/>
      <c r="G372" s="65"/>
    </row>
    <row r="373" spans="1:7">
      <c r="A373" s="65"/>
      <c r="B373" s="65"/>
      <c r="C373" s="65"/>
      <c r="D373" s="65"/>
      <c r="E373" s="65"/>
      <c r="F373" s="65"/>
      <c r="G373" s="65"/>
    </row>
    <row r="374" spans="1:7">
      <c r="A374" s="65"/>
      <c r="B374" s="65"/>
      <c r="C374" s="65"/>
      <c r="D374" s="65"/>
      <c r="E374" s="65"/>
      <c r="F374" s="65"/>
      <c r="G374" s="65"/>
    </row>
    <row r="375" spans="1:7">
      <c r="A375" s="65"/>
      <c r="B375" s="65"/>
      <c r="C375" s="65"/>
      <c r="D375" s="65"/>
      <c r="E375" s="65"/>
      <c r="F375" s="65"/>
      <c r="G375" s="65"/>
    </row>
    <row r="376" spans="1:7">
      <c r="A376" s="65"/>
      <c r="B376" s="65"/>
      <c r="C376" s="65"/>
      <c r="D376" s="65"/>
      <c r="E376" s="65"/>
      <c r="F376" s="65"/>
      <c r="G376" s="65"/>
    </row>
    <row r="377" spans="1:7">
      <c r="A377" s="65"/>
      <c r="B377" s="65"/>
      <c r="C377" s="65"/>
      <c r="D377" s="65"/>
      <c r="E377" s="65"/>
      <c r="F377" s="65"/>
      <c r="G377" s="65"/>
    </row>
    <row r="378" spans="1:7">
      <c r="A378" s="65"/>
      <c r="B378" s="65"/>
      <c r="C378" s="65"/>
      <c r="D378" s="65"/>
      <c r="E378" s="65"/>
      <c r="F378" s="65"/>
      <c r="G378" s="65"/>
    </row>
    <row r="379" spans="1:7">
      <c r="A379" s="65"/>
      <c r="B379" s="65"/>
      <c r="C379" s="65"/>
      <c r="D379" s="65"/>
      <c r="E379" s="65"/>
      <c r="F379" s="65"/>
      <c r="G379" s="65"/>
    </row>
    <row r="380" spans="1:7">
      <c r="A380" s="65"/>
      <c r="B380" s="65"/>
      <c r="C380" s="65"/>
      <c r="D380" s="65"/>
      <c r="E380" s="65"/>
      <c r="F380" s="65"/>
      <c r="G380" s="65"/>
    </row>
    <row r="381" spans="1:7">
      <c r="A381" s="65"/>
      <c r="B381" s="65"/>
      <c r="C381" s="65"/>
      <c r="D381" s="65"/>
      <c r="E381" s="65"/>
      <c r="F381" s="65"/>
      <c r="G381" s="65"/>
    </row>
    <row r="382" spans="1:7">
      <c r="A382" s="65"/>
      <c r="B382" s="65"/>
      <c r="C382" s="65"/>
      <c r="D382" s="65"/>
      <c r="E382" s="65"/>
      <c r="F382" s="65"/>
      <c r="G382" s="65"/>
    </row>
    <row r="383" spans="1:7">
      <c r="A383" s="65"/>
      <c r="B383" s="65"/>
      <c r="C383" s="65"/>
      <c r="D383" s="65"/>
      <c r="E383" s="65"/>
      <c r="F383" s="65"/>
      <c r="G383" s="65"/>
    </row>
    <row r="384" spans="1:7">
      <c r="A384" s="65"/>
      <c r="B384" s="65"/>
      <c r="C384" s="65"/>
      <c r="D384" s="65"/>
      <c r="E384" s="65"/>
      <c r="F384" s="65"/>
      <c r="G384" s="65"/>
    </row>
    <row r="385" spans="1:7">
      <c r="A385" s="65"/>
      <c r="B385" s="65"/>
      <c r="C385" s="65"/>
      <c r="D385" s="65"/>
      <c r="E385" s="65"/>
      <c r="F385" s="65"/>
      <c r="G385" s="65"/>
    </row>
    <row r="386" spans="1:7">
      <c r="A386" s="65"/>
      <c r="B386" s="65"/>
      <c r="C386" s="65"/>
      <c r="D386" s="65"/>
      <c r="E386" s="65"/>
      <c r="F386" s="65"/>
      <c r="G386" s="65"/>
    </row>
    <row r="387" spans="1:7">
      <c r="A387" s="65"/>
      <c r="B387" s="65"/>
      <c r="C387" s="65"/>
      <c r="D387" s="65"/>
      <c r="E387" s="65"/>
      <c r="F387" s="65"/>
      <c r="G387" s="65"/>
    </row>
    <row r="388" spans="1:7">
      <c r="A388" s="65"/>
      <c r="B388" s="65"/>
      <c r="C388" s="65"/>
      <c r="D388" s="65"/>
      <c r="E388" s="65"/>
      <c r="F388" s="65"/>
      <c r="G388" s="65"/>
    </row>
    <row r="389" spans="1:7">
      <c r="A389" s="65"/>
      <c r="B389" s="65"/>
      <c r="C389" s="65"/>
      <c r="D389" s="65"/>
      <c r="E389" s="65"/>
      <c r="F389" s="65"/>
      <c r="G389" s="65"/>
    </row>
    <row r="390" spans="1:7">
      <c r="A390" s="65"/>
      <c r="B390" s="65"/>
      <c r="C390" s="65"/>
      <c r="D390" s="65"/>
      <c r="E390" s="65"/>
      <c r="F390" s="65"/>
      <c r="G390" s="65"/>
    </row>
    <row r="391" spans="1:7">
      <c r="A391" s="65"/>
      <c r="B391" s="65"/>
      <c r="C391" s="65"/>
      <c r="D391" s="65"/>
      <c r="E391" s="65"/>
      <c r="F391" s="65"/>
      <c r="G391" s="65"/>
    </row>
    <row r="392" spans="1:7">
      <c r="A392" s="65"/>
      <c r="B392" s="65"/>
      <c r="C392" s="65"/>
      <c r="D392" s="65"/>
      <c r="E392" s="65"/>
      <c r="F392" s="65"/>
      <c r="G392" s="65"/>
    </row>
    <row r="393" spans="1:7">
      <c r="A393" s="65"/>
      <c r="B393" s="65"/>
      <c r="C393" s="65"/>
      <c r="D393" s="65"/>
      <c r="E393" s="65"/>
      <c r="F393" s="65"/>
      <c r="G393" s="65"/>
    </row>
    <row r="394" spans="1:7">
      <c r="A394" s="65"/>
      <c r="B394" s="65"/>
      <c r="C394" s="65"/>
      <c r="D394" s="65"/>
      <c r="E394" s="65"/>
      <c r="F394" s="65"/>
      <c r="G394" s="65"/>
    </row>
    <row r="395" spans="1:7">
      <c r="A395" s="65"/>
      <c r="B395" s="65"/>
      <c r="C395" s="65"/>
      <c r="D395" s="65"/>
      <c r="E395" s="65"/>
      <c r="F395" s="65"/>
      <c r="G395" s="65"/>
    </row>
    <row r="396" spans="1:7">
      <c r="A396" s="65"/>
      <c r="B396" s="65"/>
      <c r="C396" s="65"/>
      <c r="D396" s="65"/>
      <c r="E396" s="65"/>
      <c r="F396" s="65"/>
      <c r="G396" s="65"/>
    </row>
    <row r="397" spans="1:7">
      <c r="A397" s="65"/>
      <c r="B397" s="65"/>
      <c r="C397" s="65"/>
      <c r="D397" s="65"/>
      <c r="E397" s="65"/>
      <c r="F397" s="65"/>
      <c r="G397" s="65"/>
    </row>
    <row r="398" spans="1:7">
      <c r="A398" s="65"/>
      <c r="B398" s="65"/>
      <c r="C398" s="65"/>
      <c r="D398" s="65"/>
      <c r="E398" s="65"/>
      <c r="F398" s="65"/>
      <c r="G398" s="65"/>
    </row>
    <row r="399" spans="1:7">
      <c r="A399" s="65"/>
      <c r="B399" s="65"/>
      <c r="C399" s="65"/>
      <c r="D399" s="65"/>
      <c r="E399" s="65"/>
      <c r="F399" s="65"/>
      <c r="G399" s="65"/>
    </row>
    <row r="400" spans="1:7">
      <c r="A400" s="65"/>
      <c r="B400" s="65"/>
      <c r="C400" s="65"/>
      <c r="D400" s="65"/>
      <c r="E400" s="65"/>
      <c r="F400" s="65"/>
      <c r="G400" s="65"/>
    </row>
    <row r="401" spans="1:7">
      <c r="A401" s="65"/>
      <c r="B401" s="65"/>
      <c r="C401" s="65"/>
      <c r="D401" s="65"/>
      <c r="E401" s="65"/>
      <c r="F401" s="65"/>
      <c r="G401" s="65"/>
    </row>
    <row r="402" spans="1:7">
      <c r="A402" s="65"/>
      <c r="B402" s="65"/>
      <c r="C402" s="65"/>
      <c r="D402" s="65"/>
      <c r="E402" s="65"/>
      <c r="F402" s="65"/>
      <c r="G402" s="65"/>
    </row>
    <row r="403" spans="1:7">
      <c r="A403" s="65"/>
      <c r="B403" s="65"/>
      <c r="C403" s="65"/>
      <c r="D403" s="65"/>
      <c r="E403" s="65"/>
      <c r="F403" s="65"/>
      <c r="G403" s="65"/>
    </row>
    <row r="404" spans="1:7">
      <c r="A404" s="65"/>
      <c r="B404" s="65"/>
      <c r="C404" s="65"/>
      <c r="D404" s="65"/>
      <c r="E404" s="65"/>
      <c r="F404" s="65"/>
      <c r="G404" s="65"/>
    </row>
    <row r="405" spans="1:7">
      <c r="A405" s="65"/>
      <c r="B405" s="65"/>
      <c r="C405" s="65"/>
      <c r="D405" s="65"/>
      <c r="E405" s="65"/>
      <c r="F405" s="65"/>
      <c r="G405" s="65"/>
    </row>
    <row r="406" spans="1:7">
      <c r="A406" s="65"/>
      <c r="B406" s="65"/>
      <c r="C406" s="65"/>
      <c r="D406" s="65"/>
      <c r="E406" s="65"/>
      <c r="F406" s="65"/>
      <c r="G406" s="65"/>
    </row>
    <row r="407" spans="1:7">
      <c r="A407" s="65"/>
      <c r="B407" s="65"/>
      <c r="C407" s="65"/>
      <c r="D407" s="65"/>
      <c r="E407" s="65"/>
      <c r="F407" s="65"/>
      <c r="G407" s="65"/>
    </row>
    <row r="408" spans="1:7">
      <c r="A408" s="65"/>
      <c r="B408" s="65"/>
      <c r="C408" s="65"/>
      <c r="D408" s="65"/>
      <c r="E408" s="65"/>
      <c r="F408" s="65"/>
      <c r="G408" s="65"/>
    </row>
    <row r="409" spans="1:7">
      <c r="A409" s="65"/>
      <c r="B409" s="65"/>
      <c r="C409" s="65"/>
      <c r="D409" s="65"/>
      <c r="E409" s="65"/>
      <c r="F409" s="65"/>
      <c r="G409" s="65"/>
    </row>
    <row r="410" spans="1:7">
      <c r="A410" s="65"/>
      <c r="B410" s="65"/>
      <c r="C410" s="65"/>
      <c r="D410" s="65"/>
      <c r="E410" s="65"/>
      <c r="F410" s="65"/>
      <c r="G410" s="65"/>
    </row>
    <row r="411" spans="1:7">
      <c r="A411" s="65"/>
      <c r="B411" s="65"/>
      <c r="C411" s="65"/>
      <c r="D411" s="65"/>
      <c r="E411" s="65"/>
      <c r="F411" s="65"/>
      <c r="G411" s="65"/>
    </row>
    <row r="412" spans="1:7">
      <c r="A412" s="65"/>
      <c r="B412" s="65"/>
      <c r="C412" s="65"/>
      <c r="D412" s="65"/>
      <c r="E412" s="65"/>
      <c r="F412" s="65"/>
      <c r="G412" s="65"/>
    </row>
    <row r="413" spans="1:7">
      <c r="A413" s="65"/>
      <c r="B413" s="65"/>
      <c r="C413" s="65"/>
      <c r="D413" s="65"/>
      <c r="E413" s="65"/>
      <c r="F413" s="65"/>
      <c r="G413" s="65"/>
    </row>
    <row r="414" spans="1:7">
      <c r="A414" s="65"/>
      <c r="B414" s="65"/>
      <c r="C414" s="65"/>
      <c r="D414" s="65"/>
      <c r="E414" s="65"/>
      <c r="F414" s="65"/>
      <c r="G414" s="65"/>
    </row>
    <row r="415" spans="1:7">
      <c r="A415" s="65"/>
      <c r="B415" s="65"/>
      <c r="C415" s="65"/>
      <c r="D415" s="65"/>
      <c r="E415" s="65"/>
      <c r="F415" s="65"/>
      <c r="G415" s="65"/>
    </row>
    <row r="416" spans="1:7">
      <c r="A416" s="65"/>
      <c r="B416" s="65"/>
      <c r="C416" s="65"/>
      <c r="D416" s="65"/>
      <c r="E416" s="65"/>
      <c r="F416" s="65"/>
      <c r="G416" s="65"/>
    </row>
    <row r="417" spans="1:7">
      <c r="A417" s="65"/>
      <c r="B417" s="65"/>
      <c r="C417" s="65"/>
      <c r="D417" s="65"/>
      <c r="E417" s="65"/>
      <c r="F417" s="65"/>
      <c r="G417" s="65"/>
    </row>
    <row r="418" spans="1:7">
      <c r="A418" s="65"/>
      <c r="B418" s="65"/>
      <c r="C418" s="65"/>
      <c r="D418" s="65"/>
      <c r="E418" s="65"/>
      <c r="F418" s="65"/>
      <c r="G418" s="65"/>
    </row>
    <row r="419" spans="1:7">
      <c r="A419" s="65"/>
      <c r="B419" s="65"/>
      <c r="C419" s="65"/>
      <c r="D419" s="65"/>
      <c r="E419" s="65"/>
      <c r="F419" s="65"/>
      <c r="G419" s="65"/>
    </row>
    <row r="420" spans="1:7">
      <c r="A420" s="65"/>
      <c r="B420" s="65"/>
      <c r="C420" s="65"/>
      <c r="D420" s="65"/>
      <c r="E420" s="65"/>
      <c r="F420" s="65"/>
      <c r="G420" s="65"/>
    </row>
    <row r="421" spans="1:7">
      <c r="A421" s="65"/>
      <c r="B421" s="65"/>
      <c r="C421" s="65"/>
      <c r="D421" s="65"/>
      <c r="E421" s="65"/>
      <c r="F421" s="65"/>
      <c r="G421" s="65"/>
    </row>
    <row r="422" spans="1:7">
      <c r="A422" s="65"/>
      <c r="B422" s="65"/>
      <c r="C422" s="65"/>
      <c r="D422" s="65"/>
      <c r="E422" s="65"/>
      <c r="F422" s="65"/>
      <c r="G422" s="65"/>
    </row>
    <row r="423" spans="1:7">
      <c r="A423" s="65"/>
      <c r="B423" s="65"/>
      <c r="C423" s="65"/>
      <c r="D423" s="65"/>
      <c r="E423" s="65"/>
      <c r="F423" s="65"/>
      <c r="G423" s="65"/>
    </row>
    <row r="424" spans="1:7">
      <c r="A424" s="65"/>
      <c r="B424" s="65"/>
      <c r="C424" s="65"/>
      <c r="D424" s="65"/>
      <c r="E424" s="65"/>
      <c r="F424" s="65"/>
      <c r="G424" s="65"/>
    </row>
    <row r="425" spans="1:7">
      <c r="A425" s="65"/>
      <c r="B425" s="65"/>
      <c r="C425" s="65"/>
      <c r="D425" s="65"/>
      <c r="E425" s="65"/>
      <c r="F425" s="65"/>
      <c r="G425" s="65"/>
    </row>
    <row r="426" spans="1:7">
      <c r="A426" s="65"/>
      <c r="B426" s="65"/>
      <c r="C426" s="65"/>
      <c r="D426" s="65"/>
      <c r="E426" s="65"/>
      <c r="F426" s="65"/>
      <c r="G426" s="65"/>
    </row>
    <row r="427" spans="1:7">
      <c r="A427" s="65"/>
      <c r="B427" s="65"/>
      <c r="C427" s="65"/>
      <c r="D427" s="65"/>
      <c r="E427" s="65"/>
      <c r="F427" s="65"/>
      <c r="G427" s="65"/>
    </row>
    <row r="428" spans="1:7">
      <c r="A428" s="65"/>
      <c r="B428" s="65"/>
      <c r="C428" s="65"/>
      <c r="D428" s="65"/>
      <c r="E428" s="65"/>
      <c r="F428" s="65"/>
      <c r="G428" s="65"/>
    </row>
    <row r="429" spans="1:7">
      <c r="A429" s="65"/>
      <c r="B429" s="65"/>
      <c r="C429" s="65"/>
      <c r="D429" s="65"/>
      <c r="E429" s="65"/>
      <c r="F429" s="65"/>
      <c r="G429" s="65"/>
    </row>
    <row r="430" spans="1:7">
      <c r="A430" s="65"/>
      <c r="B430" s="65"/>
      <c r="C430" s="65"/>
      <c r="D430" s="65"/>
      <c r="E430" s="65"/>
      <c r="F430" s="65"/>
      <c r="G430" s="65"/>
    </row>
    <row r="431" spans="1:7">
      <c r="A431" s="65"/>
      <c r="B431" s="65"/>
      <c r="C431" s="65"/>
      <c r="D431" s="65"/>
      <c r="E431" s="65"/>
      <c r="F431" s="65"/>
      <c r="G431" s="65"/>
    </row>
    <row r="432" spans="1:7">
      <c r="A432" s="65"/>
      <c r="B432" s="65"/>
      <c r="C432" s="65"/>
      <c r="D432" s="65"/>
      <c r="E432" s="65"/>
      <c r="F432" s="65"/>
      <c r="G432" s="65"/>
    </row>
    <row r="433" spans="1:7">
      <c r="A433" s="65"/>
      <c r="B433" s="65"/>
      <c r="C433" s="65"/>
      <c r="D433" s="65"/>
      <c r="E433" s="65"/>
      <c r="F433" s="65"/>
      <c r="G433" s="65"/>
    </row>
    <row r="434" spans="1:7">
      <c r="A434" s="65"/>
      <c r="B434" s="65"/>
      <c r="C434" s="65"/>
      <c r="D434" s="65"/>
      <c r="E434" s="65"/>
      <c r="F434" s="65"/>
      <c r="G434" s="65"/>
    </row>
    <row r="435" spans="1:7">
      <c r="A435" s="65"/>
      <c r="B435" s="65"/>
      <c r="C435" s="65"/>
      <c r="D435" s="65"/>
      <c r="E435" s="65"/>
      <c r="F435" s="65"/>
      <c r="G435" s="65"/>
    </row>
    <row r="436" spans="1:7">
      <c r="A436" s="65"/>
      <c r="B436" s="65"/>
      <c r="C436" s="65"/>
      <c r="D436" s="65"/>
      <c r="E436" s="65"/>
      <c r="F436" s="65"/>
      <c r="G436" s="65"/>
    </row>
    <row r="437" spans="1:7">
      <c r="A437" s="65"/>
      <c r="B437" s="65"/>
      <c r="C437" s="65"/>
      <c r="D437" s="65"/>
      <c r="E437" s="65"/>
      <c r="F437" s="65"/>
      <c r="G437" s="65"/>
    </row>
    <row r="438" spans="1:7">
      <c r="A438" s="65"/>
      <c r="B438" s="65"/>
      <c r="C438" s="65"/>
      <c r="D438" s="65"/>
      <c r="E438" s="65"/>
      <c r="F438" s="65"/>
      <c r="G438" s="65"/>
    </row>
    <row r="439" spans="1:7">
      <c r="A439" s="65"/>
      <c r="B439" s="65"/>
      <c r="C439" s="65"/>
      <c r="D439" s="65"/>
      <c r="E439" s="65"/>
      <c r="F439" s="65"/>
      <c r="G439" s="65"/>
    </row>
    <row r="440" spans="1:7">
      <c r="A440" s="65"/>
      <c r="B440" s="65"/>
      <c r="C440" s="65"/>
      <c r="D440" s="65"/>
      <c r="E440" s="65"/>
      <c r="F440" s="65"/>
      <c r="G440" s="65"/>
    </row>
    <row r="441" spans="1:7">
      <c r="A441" s="65"/>
      <c r="B441" s="65"/>
      <c r="C441" s="65"/>
      <c r="D441" s="65"/>
      <c r="E441" s="65"/>
      <c r="F441" s="65"/>
      <c r="G441" s="65"/>
    </row>
    <row r="442" spans="1:7">
      <c r="A442" s="65"/>
      <c r="B442" s="65"/>
      <c r="C442" s="65"/>
      <c r="D442" s="65"/>
      <c r="E442" s="65"/>
      <c r="F442" s="65"/>
      <c r="G442" s="65"/>
    </row>
    <row r="443" spans="1:7">
      <c r="A443" s="65"/>
      <c r="B443" s="65"/>
      <c r="C443" s="65"/>
      <c r="D443" s="65"/>
      <c r="E443" s="65"/>
      <c r="F443" s="65"/>
      <c r="G443" s="65"/>
    </row>
    <row r="444" spans="1:7">
      <c r="A444" s="65"/>
      <c r="B444" s="65"/>
      <c r="C444" s="65"/>
      <c r="D444" s="65"/>
      <c r="E444" s="65"/>
      <c r="F444" s="65"/>
      <c r="G444" s="65"/>
    </row>
    <row r="445" spans="1:7">
      <c r="A445" s="65"/>
      <c r="B445" s="65"/>
      <c r="C445" s="65"/>
      <c r="D445" s="65"/>
      <c r="E445" s="65"/>
      <c r="F445" s="65"/>
      <c r="G445" s="65"/>
    </row>
    <row r="446" spans="1:7">
      <c r="A446" s="65"/>
      <c r="B446" s="65"/>
      <c r="C446" s="65"/>
      <c r="D446" s="65"/>
      <c r="E446" s="65"/>
      <c r="F446" s="65"/>
      <c r="G446" s="65"/>
    </row>
    <row r="447" spans="1:7">
      <c r="A447" s="65"/>
      <c r="B447" s="65"/>
      <c r="C447" s="65"/>
      <c r="D447" s="65"/>
      <c r="E447" s="65"/>
      <c r="F447" s="65"/>
      <c r="G447" s="65"/>
    </row>
    <row r="448" spans="1:7">
      <c r="A448" s="65"/>
      <c r="B448" s="65"/>
      <c r="C448" s="65"/>
      <c r="D448" s="65"/>
      <c r="E448" s="65"/>
      <c r="F448" s="65"/>
      <c r="G448" s="65"/>
    </row>
    <row r="449" spans="1:7">
      <c r="A449" s="65"/>
      <c r="B449" s="65"/>
      <c r="C449" s="65"/>
      <c r="D449" s="65"/>
      <c r="E449" s="65"/>
      <c r="F449" s="65"/>
      <c r="G449" s="65"/>
    </row>
    <row r="450" spans="1:7">
      <c r="A450" s="65"/>
      <c r="B450" s="65"/>
      <c r="C450" s="65"/>
      <c r="D450" s="65"/>
      <c r="E450" s="65"/>
      <c r="F450" s="65"/>
      <c r="G450" s="65"/>
    </row>
    <row r="451" spans="1:7">
      <c r="A451" s="65"/>
      <c r="B451" s="65"/>
      <c r="C451" s="65"/>
      <c r="D451" s="65"/>
      <c r="E451" s="65"/>
      <c r="F451" s="65"/>
      <c r="G451" s="65"/>
    </row>
    <row r="452" spans="1:7">
      <c r="A452" s="65"/>
      <c r="B452" s="65"/>
      <c r="C452" s="65"/>
      <c r="D452" s="65"/>
      <c r="E452" s="65"/>
      <c r="F452" s="65"/>
      <c r="G452" s="65"/>
    </row>
    <row r="453" spans="1:7">
      <c r="A453" s="65"/>
      <c r="B453" s="65"/>
      <c r="C453" s="65"/>
      <c r="D453" s="65"/>
      <c r="E453" s="65"/>
      <c r="F453" s="65"/>
      <c r="G453" s="65"/>
    </row>
    <row r="454" spans="1:7">
      <c r="A454" s="65"/>
      <c r="B454" s="65"/>
      <c r="C454" s="65"/>
      <c r="D454" s="65"/>
      <c r="E454" s="65"/>
      <c r="F454" s="65"/>
      <c r="G454" s="65"/>
    </row>
    <row r="455" spans="1:7">
      <c r="A455" s="65"/>
      <c r="B455" s="65"/>
      <c r="C455" s="65"/>
      <c r="D455" s="65"/>
      <c r="E455" s="65"/>
      <c r="F455" s="65"/>
      <c r="G455" s="65"/>
    </row>
    <row r="456" spans="1:7">
      <c r="A456" s="65"/>
      <c r="B456" s="65"/>
      <c r="C456" s="65"/>
      <c r="D456" s="65"/>
      <c r="E456" s="65"/>
      <c r="F456" s="65"/>
      <c r="G456" s="65"/>
    </row>
    <row r="457" spans="1:7">
      <c r="A457" s="65"/>
      <c r="B457" s="65"/>
      <c r="C457" s="65"/>
      <c r="D457" s="65"/>
      <c r="E457" s="65"/>
      <c r="F457" s="65"/>
      <c r="G457" s="65"/>
    </row>
    <row r="458" spans="1:7">
      <c r="A458" s="65"/>
      <c r="B458" s="65"/>
      <c r="C458" s="65"/>
      <c r="D458" s="65"/>
      <c r="E458" s="65"/>
      <c r="F458" s="65"/>
      <c r="G458" s="65"/>
    </row>
    <row r="459" spans="1:7">
      <c r="A459" s="65"/>
      <c r="B459" s="65"/>
      <c r="C459" s="65"/>
      <c r="D459" s="65"/>
      <c r="E459" s="65"/>
      <c r="F459" s="65"/>
      <c r="G459" s="65"/>
    </row>
    <row r="460" spans="1:7">
      <c r="A460" s="65"/>
      <c r="B460" s="65"/>
      <c r="C460" s="65"/>
      <c r="D460" s="65"/>
      <c r="E460" s="65"/>
      <c r="F460" s="65"/>
      <c r="G460" s="65"/>
    </row>
    <row r="461" spans="1:7">
      <c r="A461" s="65"/>
      <c r="B461" s="65"/>
      <c r="C461" s="65"/>
      <c r="D461" s="65"/>
      <c r="E461" s="65"/>
      <c r="F461" s="65"/>
      <c r="G461" s="65"/>
    </row>
    <row r="462" spans="1:7">
      <c r="A462" s="65"/>
      <c r="B462" s="65"/>
      <c r="C462" s="65"/>
      <c r="D462" s="65"/>
      <c r="E462" s="65"/>
      <c r="F462" s="65"/>
      <c r="G462" s="65"/>
    </row>
    <row r="463" spans="1:7">
      <c r="A463" s="65"/>
      <c r="B463" s="65"/>
      <c r="C463" s="65"/>
      <c r="D463" s="65"/>
      <c r="E463" s="65"/>
      <c r="F463" s="65"/>
      <c r="G463" s="65"/>
    </row>
    <row r="464" spans="1:7">
      <c r="A464" s="65"/>
      <c r="B464" s="65"/>
      <c r="C464" s="65"/>
      <c r="D464" s="65"/>
      <c r="E464" s="65"/>
      <c r="F464" s="65"/>
      <c r="G464" s="65"/>
    </row>
    <row r="465" spans="1:7">
      <c r="A465" s="65"/>
      <c r="B465" s="65"/>
      <c r="C465" s="65"/>
      <c r="D465" s="65"/>
      <c r="E465" s="65"/>
      <c r="F465" s="65"/>
      <c r="G465" s="65"/>
    </row>
    <row r="466" spans="1:7">
      <c r="A466" s="65"/>
      <c r="B466" s="65"/>
      <c r="C466" s="65"/>
      <c r="D466" s="65"/>
      <c r="E466" s="65"/>
      <c r="F466" s="65"/>
      <c r="G466" s="65"/>
    </row>
    <row r="467" spans="1:7">
      <c r="A467" s="65"/>
      <c r="B467" s="65"/>
      <c r="C467" s="65"/>
      <c r="D467" s="65"/>
      <c r="E467" s="65"/>
      <c r="F467" s="65"/>
      <c r="G467" s="65"/>
    </row>
    <row r="468" spans="1:7">
      <c r="A468" s="65"/>
      <c r="B468" s="65"/>
      <c r="C468" s="65"/>
      <c r="D468" s="65"/>
      <c r="E468" s="65"/>
      <c r="F468" s="65"/>
      <c r="G468" s="65"/>
    </row>
    <row r="469" spans="1:7">
      <c r="A469" s="65"/>
      <c r="B469" s="65"/>
      <c r="C469" s="65"/>
      <c r="D469" s="65"/>
      <c r="E469" s="65"/>
      <c r="F469" s="65"/>
      <c r="G469" s="65"/>
    </row>
    <row r="470" spans="1:7">
      <c r="A470" s="65"/>
      <c r="B470" s="65"/>
      <c r="C470" s="65"/>
      <c r="D470" s="65"/>
      <c r="E470" s="65"/>
      <c r="F470" s="65"/>
      <c r="G470" s="65"/>
    </row>
    <row r="471" spans="1:7">
      <c r="A471" s="65"/>
      <c r="B471" s="65"/>
      <c r="C471" s="65"/>
      <c r="D471" s="65"/>
      <c r="E471" s="65"/>
      <c r="F471" s="65"/>
      <c r="G471" s="65"/>
    </row>
    <row r="472" spans="1:7">
      <c r="A472" s="65"/>
      <c r="B472" s="65"/>
      <c r="C472" s="65"/>
      <c r="D472" s="65"/>
      <c r="E472" s="65"/>
      <c r="F472" s="65"/>
      <c r="G472" s="65"/>
    </row>
    <row r="473" spans="1:7">
      <c r="A473" s="65"/>
      <c r="B473" s="65"/>
      <c r="C473" s="65"/>
      <c r="D473" s="65"/>
      <c r="E473" s="65"/>
      <c r="F473" s="65"/>
      <c r="G473" s="65"/>
    </row>
    <row r="474" spans="1:7">
      <c r="A474" s="65"/>
      <c r="B474" s="65"/>
      <c r="C474" s="65"/>
      <c r="D474" s="65"/>
      <c r="E474" s="65"/>
      <c r="F474" s="65"/>
      <c r="G474" s="65"/>
    </row>
    <row r="475" spans="1:7">
      <c r="A475" s="65"/>
      <c r="B475" s="65"/>
      <c r="C475" s="65"/>
      <c r="D475" s="65"/>
      <c r="E475" s="65"/>
      <c r="F475" s="65"/>
      <c r="G475" s="65"/>
    </row>
    <row r="476" spans="1:7">
      <c r="A476" s="65"/>
      <c r="B476" s="65"/>
      <c r="C476" s="65"/>
      <c r="D476" s="65"/>
      <c r="E476" s="65"/>
      <c r="F476" s="65"/>
      <c r="G476" s="65"/>
    </row>
    <row r="477" spans="1:7">
      <c r="A477" s="65"/>
      <c r="B477" s="65"/>
      <c r="C477" s="65"/>
      <c r="D477" s="65"/>
      <c r="E477" s="65"/>
      <c r="F477" s="65"/>
      <c r="G477" s="65"/>
    </row>
    <row r="478" spans="1:7">
      <c r="A478" s="65"/>
      <c r="B478" s="65"/>
      <c r="C478" s="65"/>
      <c r="D478" s="65"/>
      <c r="E478" s="65"/>
      <c r="F478" s="65"/>
      <c r="G478" s="65"/>
    </row>
    <row r="479" spans="1:7">
      <c r="A479" s="65"/>
      <c r="B479" s="65"/>
      <c r="C479" s="65"/>
      <c r="D479" s="65"/>
      <c r="E479" s="65"/>
      <c r="F479" s="65"/>
      <c r="G479" s="65"/>
    </row>
    <row r="480" spans="1:7">
      <c r="A480" s="65"/>
      <c r="B480" s="65"/>
      <c r="C480" s="65"/>
      <c r="D480" s="65"/>
      <c r="E480" s="65"/>
      <c r="F480" s="65"/>
      <c r="G480" s="65"/>
    </row>
    <row r="481" spans="1:7">
      <c r="A481" s="65"/>
      <c r="B481" s="65"/>
      <c r="C481" s="65"/>
      <c r="D481" s="65"/>
      <c r="E481" s="65"/>
      <c r="F481" s="65"/>
      <c r="G481" s="65"/>
    </row>
    <row r="482" spans="1:7">
      <c r="A482" s="65"/>
      <c r="B482" s="65"/>
      <c r="C482" s="65"/>
      <c r="D482" s="65"/>
      <c r="E482" s="65"/>
      <c r="F482" s="65"/>
      <c r="G482" s="65"/>
    </row>
    <row r="483" spans="1:7">
      <c r="A483" s="65"/>
      <c r="B483" s="65"/>
      <c r="C483" s="65"/>
      <c r="D483" s="65"/>
      <c r="E483" s="65"/>
      <c r="F483" s="65"/>
      <c r="G483" s="65"/>
    </row>
    <row r="484" spans="1:7">
      <c r="A484" s="65"/>
      <c r="B484" s="65"/>
      <c r="C484" s="65"/>
      <c r="D484" s="65"/>
      <c r="E484" s="65"/>
      <c r="F484" s="65"/>
      <c r="G484" s="65"/>
    </row>
    <row r="485" spans="1:7">
      <c r="A485" s="65"/>
      <c r="B485" s="65"/>
      <c r="C485" s="65"/>
      <c r="D485" s="65"/>
      <c r="E485" s="65"/>
      <c r="F485" s="65"/>
      <c r="G485" s="65"/>
    </row>
    <row r="486" spans="1:7">
      <c r="A486" s="65"/>
      <c r="B486" s="65"/>
      <c r="C486" s="65"/>
      <c r="D486" s="65"/>
      <c r="E486" s="65"/>
      <c r="F486" s="65"/>
      <c r="G486" s="65"/>
    </row>
    <row r="487" spans="1:7">
      <c r="A487" s="65"/>
      <c r="B487" s="65"/>
      <c r="C487" s="65"/>
      <c r="D487" s="65"/>
      <c r="E487" s="65"/>
      <c r="F487" s="65"/>
      <c r="G487" s="65"/>
    </row>
    <row r="488" spans="1:7">
      <c r="A488" s="65"/>
      <c r="B488" s="65"/>
      <c r="C488" s="65"/>
      <c r="D488" s="65"/>
      <c r="E488" s="65"/>
      <c r="F488" s="65"/>
      <c r="G488" s="65"/>
    </row>
    <row r="489" spans="1:7">
      <c r="A489" s="65"/>
      <c r="B489" s="65"/>
      <c r="C489" s="65"/>
      <c r="D489" s="65"/>
      <c r="E489" s="65"/>
      <c r="F489" s="65"/>
      <c r="G489" s="65"/>
    </row>
    <row r="490" spans="1:7">
      <c r="A490" s="65"/>
      <c r="B490" s="65"/>
      <c r="C490" s="65"/>
      <c r="D490" s="65"/>
      <c r="E490" s="65"/>
      <c r="F490" s="65"/>
      <c r="G490" s="65"/>
    </row>
    <row r="491" spans="1:7">
      <c r="A491" s="65"/>
      <c r="B491" s="65"/>
      <c r="C491" s="65"/>
      <c r="D491" s="65"/>
      <c r="E491" s="65"/>
      <c r="F491" s="65"/>
      <c r="G491" s="65"/>
    </row>
    <row r="492" spans="1:7">
      <c r="A492" s="65"/>
      <c r="B492" s="65"/>
      <c r="C492" s="65"/>
      <c r="D492" s="65"/>
      <c r="E492" s="65"/>
      <c r="F492" s="65"/>
      <c r="G492" s="65"/>
    </row>
    <row r="493" spans="1:7">
      <c r="A493" s="65"/>
      <c r="B493" s="65"/>
      <c r="C493" s="65"/>
      <c r="D493" s="65"/>
      <c r="E493" s="65"/>
      <c r="F493" s="65"/>
      <c r="G493" s="65"/>
    </row>
    <row r="494" spans="1:7">
      <c r="A494" s="65"/>
      <c r="B494" s="65"/>
      <c r="C494" s="65"/>
      <c r="D494" s="65"/>
      <c r="E494" s="65"/>
      <c r="F494" s="65"/>
      <c r="G494" s="65"/>
    </row>
    <row r="495" spans="1:7">
      <c r="A495" s="65"/>
      <c r="B495" s="65"/>
      <c r="C495" s="65"/>
      <c r="D495" s="65"/>
      <c r="E495" s="65"/>
      <c r="F495" s="65"/>
      <c r="G495" s="65"/>
    </row>
    <row r="496" spans="1:7">
      <c r="A496" s="65"/>
      <c r="B496" s="65"/>
      <c r="C496" s="65"/>
      <c r="D496" s="65"/>
      <c r="E496" s="65"/>
      <c r="F496" s="65"/>
      <c r="G496" s="65"/>
    </row>
    <row r="497" spans="1:7">
      <c r="A497" s="65"/>
      <c r="B497" s="65"/>
      <c r="C497" s="65"/>
      <c r="D497" s="65"/>
      <c r="E497" s="65"/>
      <c r="F497" s="65"/>
      <c r="G497" s="65"/>
    </row>
    <row r="498" spans="1:7">
      <c r="A498" s="65"/>
      <c r="B498" s="65"/>
      <c r="C498" s="65"/>
      <c r="D498" s="65"/>
      <c r="E498" s="65"/>
      <c r="F498" s="65"/>
      <c r="G498" s="65"/>
    </row>
    <row r="499" spans="1:7">
      <c r="A499" s="65"/>
      <c r="B499" s="65"/>
      <c r="C499" s="65"/>
      <c r="D499" s="65"/>
      <c r="E499" s="65"/>
      <c r="F499" s="65"/>
      <c r="G499" s="65"/>
    </row>
    <row r="500" spans="1:7">
      <c r="A500" s="65"/>
      <c r="B500" s="65"/>
      <c r="C500" s="65"/>
      <c r="D500" s="65"/>
      <c r="E500" s="65"/>
      <c r="F500" s="65"/>
      <c r="G500" s="65"/>
    </row>
    <row r="501" spans="1:7">
      <c r="A501" s="65"/>
      <c r="B501" s="65"/>
      <c r="C501" s="65"/>
      <c r="D501" s="65"/>
      <c r="E501" s="65"/>
      <c r="F501" s="65"/>
      <c r="G501" s="65"/>
    </row>
    <row r="502" spans="1:7">
      <c r="A502" s="65"/>
      <c r="B502" s="65"/>
      <c r="C502" s="65"/>
      <c r="D502" s="65"/>
      <c r="E502" s="65"/>
      <c r="F502" s="65"/>
      <c r="G502" s="65"/>
    </row>
    <row r="503" spans="1:7">
      <c r="A503" s="65"/>
      <c r="B503" s="65"/>
      <c r="C503" s="65"/>
      <c r="D503" s="65"/>
      <c r="E503" s="65"/>
      <c r="F503" s="65"/>
      <c r="G503" s="65"/>
    </row>
    <row r="504" spans="1:7">
      <c r="A504" s="65"/>
      <c r="B504" s="65"/>
      <c r="C504" s="65"/>
      <c r="D504" s="65"/>
      <c r="E504" s="65"/>
      <c r="F504" s="65"/>
      <c r="G504" s="65"/>
    </row>
    <row r="505" spans="1:7">
      <c r="A505" s="65"/>
      <c r="B505" s="65"/>
      <c r="C505" s="65"/>
      <c r="D505" s="65"/>
      <c r="E505" s="65"/>
      <c r="F505" s="65"/>
      <c r="G505" s="65"/>
    </row>
    <row r="506" spans="1:7">
      <c r="A506" s="65"/>
      <c r="B506" s="65"/>
      <c r="C506" s="65"/>
      <c r="D506" s="65"/>
      <c r="E506" s="65"/>
      <c r="F506" s="65"/>
      <c r="G506" s="65"/>
    </row>
    <row r="507" spans="1:7">
      <c r="A507" s="65"/>
      <c r="B507" s="65"/>
      <c r="C507" s="65"/>
      <c r="D507" s="65"/>
      <c r="E507" s="65"/>
      <c r="F507" s="65"/>
      <c r="G507" s="65"/>
    </row>
    <row r="508" spans="1:7">
      <c r="A508" s="65"/>
      <c r="B508" s="65"/>
      <c r="C508" s="65"/>
      <c r="D508" s="65"/>
      <c r="E508" s="65"/>
      <c r="F508" s="65"/>
      <c r="G508" s="65"/>
    </row>
    <row r="509" spans="1:7">
      <c r="A509" s="65"/>
      <c r="B509" s="65"/>
      <c r="C509" s="65"/>
      <c r="D509" s="65"/>
      <c r="E509" s="65"/>
      <c r="F509" s="65"/>
      <c r="G509" s="65"/>
    </row>
    <row r="510" spans="1:7">
      <c r="A510" s="65"/>
      <c r="B510" s="65"/>
      <c r="C510" s="65"/>
      <c r="D510" s="65"/>
      <c r="E510" s="65"/>
      <c r="F510" s="65"/>
      <c r="G510" s="65"/>
    </row>
    <row r="511" spans="1:7">
      <c r="A511" s="65"/>
      <c r="B511" s="65"/>
      <c r="C511" s="65"/>
      <c r="D511" s="65"/>
      <c r="E511" s="65"/>
      <c r="F511" s="65"/>
      <c r="G511" s="65"/>
    </row>
    <row r="512" spans="1:7">
      <c r="A512" s="65"/>
      <c r="B512" s="65"/>
      <c r="C512" s="65"/>
      <c r="D512" s="65"/>
      <c r="E512" s="65"/>
      <c r="F512" s="65"/>
      <c r="G512" s="65"/>
    </row>
    <row r="513" spans="1:7">
      <c r="A513" s="65"/>
      <c r="B513" s="65"/>
      <c r="C513" s="65"/>
      <c r="D513" s="65"/>
      <c r="E513" s="65"/>
      <c r="F513" s="65"/>
      <c r="G513" s="65"/>
    </row>
    <row r="514" spans="1:7">
      <c r="A514" s="65"/>
      <c r="B514" s="65"/>
      <c r="C514" s="65"/>
      <c r="D514" s="65"/>
      <c r="E514" s="65"/>
      <c r="F514" s="65"/>
      <c r="G514" s="65"/>
    </row>
    <row r="515" spans="1:7">
      <c r="A515" s="65"/>
      <c r="B515" s="65"/>
      <c r="C515" s="65"/>
      <c r="D515" s="65"/>
      <c r="E515" s="65"/>
      <c r="F515" s="65"/>
      <c r="G515" s="65"/>
    </row>
    <row r="516" spans="1:7">
      <c r="A516" s="65"/>
      <c r="B516" s="65"/>
      <c r="C516" s="65"/>
      <c r="D516" s="65"/>
      <c r="E516" s="65"/>
      <c r="F516" s="65"/>
      <c r="G516" s="65"/>
    </row>
    <row r="517" spans="1:7">
      <c r="A517" s="65"/>
      <c r="B517" s="65"/>
      <c r="C517" s="65"/>
      <c r="D517" s="65"/>
      <c r="E517" s="65"/>
      <c r="F517" s="65"/>
      <c r="G517" s="65"/>
    </row>
    <row r="518" spans="1:7">
      <c r="A518" s="65"/>
      <c r="B518" s="65"/>
      <c r="C518" s="65"/>
      <c r="D518" s="65"/>
      <c r="E518" s="65"/>
      <c r="F518" s="65"/>
      <c r="G518" s="65"/>
    </row>
    <row r="519" spans="1:7">
      <c r="A519" s="65"/>
      <c r="B519" s="65"/>
      <c r="C519" s="65"/>
      <c r="D519" s="65"/>
      <c r="E519" s="65"/>
      <c r="F519" s="65"/>
      <c r="G519" s="65"/>
    </row>
    <row r="520" spans="1:7">
      <c r="A520" s="65"/>
      <c r="B520" s="65"/>
      <c r="C520" s="65"/>
      <c r="D520" s="65"/>
      <c r="E520" s="65"/>
      <c r="F520" s="65"/>
      <c r="G520" s="65"/>
    </row>
    <row r="521" spans="1:7">
      <c r="A521" s="65"/>
      <c r="B521" s="65"/>
      <c r="C521" s="65"/>
      <c r="D521" s="65"/>
      <c r="E521" s="65"/>
      <c r="F521" s="65"/>
      <c r="G521" s="65"/>
    </row>
    <row r="522" spans="1:7">
      <c r="A522" s="65"/>
      <c r="B522" s="65"/>
      <c r="C522" s="65"/>
      <c r="D522" s="65"/>
      <c r="E522" s="65"/>
      <c r="F522" s="65"/>
      <c r="G522" s="65"/>
    </row>
    <row r="523" spans="1:7">
      <c r="A523" s="65"/>
      <c r="B523" s="65"/>
      <c r="C523" s="65"/>
      <c r="D523" s="65"/>
      <c r="E523" s="65"/>
      <c r="F523" s="65"/>
      <c r="G523" s="65"/>
    </row>
    <row r="524" spans="1:7">
      <c r="A524" s="65"/>
      <c r="B524" s="65"/>
      <c r="C524" s="65"/>
      <c r="D524" s="65"/>
      <c r="E524" s="65"/>
      <c r="F524" s="65"/>
      <c r="G524" s="65"/>
    </row>
    <row r="525" spans="1:7">
      <c r="A525" s="65"/>
      <c r="B525" s="65"/>
      <c r="C525" s="65"/>
      <c r="D525" s="65"/>
      <c r="E525" s="65"/>
      <c r="F525" s="65"/>
      <c r="G525" s="65"/>
    </row>
    <row r="526" spans="1:7">
      <c r="A526" s="65"/>
      <c r="B526" s="65"/>
      <c r="C526" s="65"/>
      <c r="D526" s="65"/>
      <c r="E526" s="65"/>
      <c r="F526" s="65"/>
      <c r="G526" s="65"/>
    </row>
    <row r="527" spans="1:7">
      <c r="A527" s="65"/>
      <c r="B527" s="65"/>
      <c r="C527" s="65"/>
      <c r="D527" s="65"/>
      <c r="E527" s="65"/>
      <c r="F527" s="65"/>
      <c r="G527" s="65"/>
    </row>
    <row r="528" spans="1:7">
      <c r="A528" s="65"/>
      <c r="B528" s="65"/>
      <c r="C528" s="65"/>
      <c r="D528" s="65"/>
      <c r="E528" s="65"/>
      <c r="F528" s="65"/>
      <c r="G528" s="65"/>
    </row>
    <row r="529" spans="1:7">
      <c r="A529" s="65"/>
      <c r="B529" s="65"/>
      <c r="C529" s="65"/>
      <c r="D529" s="65"/>
      <c r="E529" s="65"/>
      <c r="F529" s="65"/>
      <c r="G529" s="65"/>
    </row>
    <row r="530" spans="1:7">
      <c r="A530" s="65"/>
      <c r="B530" s="65"/>
      <c r="C530" s="65"/>
      <c r="D530" s="65"/>
      <c r="E530" s="65"/>
      <c r="F530" s="65"/>
      <c r="G530" s="65"/>
    </row>
    <row r="531" spans="1:7">
      <c r="A531" s="65"/>
      <c r="B531" s="65"/>
      <c r="C531" s="65"/>
      <c r="D531" s="65"/>
      <c r="E531" s="65"/>
      <c r="F531" s="65"/>
      <c r="G531" s="65"/>
    </row>
    <row r="532" spans="1:7">
      <c r="A532" s="65"/>
      <c r="B532" s="65"/>
      <c r="C532" s="65"/>
      <c r="D532" s="65"/>
      <c r="E532" s="65"/>
      <c r="F532" s="65"/>
      <c r="G532" s="65"/>
    </row>
    <row r="533" spans="1:7">
      <c r="A533" s="65"/>
      <c r="B533" s="65"/>
      <c r="C533" s="65"/>
      <c r="D533" s="65"/>
      <c r="E533" s="65"/>
      <c r="F533" s="65"/>
      <c r="G533" s="65"/>
    </row>
    <row r="534" spans="1:7">
      <c r="A534" s="65"/>
      <c r="B534" s="65"/>
      <c r="C534" s="65"/>
      <c r="D534" s="65"/>
      <c r="E534" s="65"/>
      <c r="F534" s="65"/>
      <c r="G534" s="65"/>
    </row>
    <row r="535" spans="1:7">
      <c r="A535" s="65"/>
      <c r="B535" s="65"/>
      <c r="C535" s="65"/>
      <c r="D535" s="65"/>
      <c r="E535" s="65"/>
      <c r="F535" s="65"/>
      <c r="G535" s="65"/>
    </row>
    <row r="536" spans="1:7">
      <c r="A536" s="65"/>
      <c r="B536" s="65"/>
      <c r="C536" s="65"/>
      <c r="D536" s="65"/>
      <c r="E536" s="65"/>
      <c r="F536" s="65"/>
      <c r="G536" s="65"/>
    </row>
    <row r="537" spans="1:7">
      <c r="A537" s="65"/>
      <c r="B537" s="65"/>
      <c r="C537" s="65"/>
      <c r="D537" s="65"/>
      <c r="E537" s="65"/>
      <c r="F537" s="65"/>
      <c r="G537" s="65"/>
    </row>
    <row r="538" spans="1:7">
      <c r="A538" s="65"/>
      <c r="B538" s="65"/>
      <c r="C538" s="65"/>
      <c r="D538" s="65"/>
      <c r="E538" s="65"/>
      <c r="F538" s="65"/>
      <c r="G538" s="65"/>
    </row>
    <row r="539" spans="1:7">
      <c r="A539" s="65"/>
      <c r="B539" s="65"/>
      <c r="C539" s="65"/>
      <c r="D539" s="65"/>
      <c r="E539" s="65"/>
      <c r="F539" s="65"/>
      <c r="G539" s="65"/>
    </row>
    <row r="540" spans="1:7">
      <c r="A540" s="65"/>
      <c r="B540" s="65"/>
      <c r="C540" s="65"/>
      <c r="D540" s="65"/>
      <c r="E540" s="65"/>
      <c r="F540" s="65"/>
      <c r="G540" s="65"/>
    </row>
    <row r="541" spans="1:7">
      <c r="A541" s="65"/>
      <c r="B541" s="65"/>
      <c r="C541" s="65"/>
      <c r="D541" s="65"/>
      <c r="E541" s="65"/>
      <c r="F541" s="65"/>
      <c r="G541" s="65"/>
    </row>
    <row r="542" spans="1:7">
      <c r="A542" s="65"/>
      <c r="B542" s="65"/>
      <c r="C542" s="65"/>
      <c r="D542" s="65"/>
      <c r="E542" s="65"/>
      <c r="F542" s="65"/>
      <c r="G542" s="65"/>
    </row>
    <row r="543" spans="1:7">
      <c r="A543" s="65"/>
      <c r="B543" s="65"/>
      <c r="C543" s="65"/>
      <c r="D543" s="65"/>
      <c r="E543" s="65"/>
      <c r="F543" s="65"/>
      <c r="G543" s="65"/>
    </row>
    <row r="544" spans="1:7">
      <c r="A544" s="65"/>
      <c r="B544" s="65"/>
      <c r="C544" s="65"/>
      <c r="D544" s="65"/>
      <c r="E544" s="65"/>
      <c r="F544" s="65"/>
      <c r="G544" s="65"/>
    </row>
    <row r="545" spans="1:7">
      <c r="A545" s="65"/>
      <c r="B545" s="65"/>
      <c r="C545" s="65"/>
      <c r="D545" s="65"/>
      <c r="E545" s="65"/>
      <c r="F545" s="65"/>
      <c r="G545" s="65"/>
    </row>
    <row r="546" spans="1:7">
      <c r="A546" s="65"/>
      <c r="B546" s="65"/>
      <c r="C546" s="65"/>
      <c r="D546" s="65"/>
      <c r="E546" s="65"/>
      <c r="F546" s="65"/>
      <c r="G546" s="65"/>
    </row>
    <row r="547" spans="1:7">
      <c r="A547" s="65"/>
      <c r="B547" s="65"/>
      <c r="C547" s="65"/>
      <c r="D547" s="65"/>
      <c r="E547" s="65"/>
      <c r="F547" s="65"/>
      <c r="G547" s="65"/>
    </row>
    <row r="548" spans="1:7">
      <c r="A548" s="65"/>
      <c r="B548" s="65"/>
      <c r="C548" s="65"/>
      <c r="D548" s="65"/>
      <c r="E548" s="65"/>
      <c r="F548" s="65"/>
      <c r="G548" s="65"/>
    </row>
    <row r="549" spans="1:7">
      <c r="A549" s="65"/>
      <c r="B549" s="65"/>
      <c r="C549" s="65"/>
      <c r="D549" s="65"/>
      <c r="E549" s="65"/>
      <c r="F549" s="65"/>
      <c r="G549" s="65"/>
    </row>
    <row r="550" spans="1:7">
      <c r="A550" s="65"/>
      <c r="B550" s="65"/>
      <c r="C550" s="65"/>
      <c r="D550" s="65"/>
      <c r="E550" s="65"/>
      <c r="F550" s="65"/>
      <c r="G550" s="65"/>
    </row>
    <row r="551" spans="1:7">
      <c r="A551" s="65"/>
      <c r="B551" s="65"/>
      <c r="C551" s="65"/>
      <c r="D551" s="65"/>
      <c r="E551" s="65"/>
      <c r="F551" s="65"/>
      <c r="G551" s="65"/>
    </row>
    <row r="552" spans="1:7">
      <c r="A552" s="65"/>
      <c r="B552" s="65"/>
      <c r="C552" s="65"/>
      <c r="D552" s="65"/>
      <c r="E552" s="65"/>
      <c r="F552" s="65"/>
      <c r="G552" s="65"/>
    </row>
    <row r="553" spans="1:7">
      <c r="A553" s="65"/>
      <c r="B553" s="65"/>
      <c r="C553" s="65"/>
      <c r="D553" s="65"/>
      <c r="E553" s="65"/>
      <c r="F553" s="65"/>
      <c r="G553" s="65"/>
    </row>
    <row r="554" spans="1:7">
      <c r="A554" s="65"/>
      <c r="B554" s="65"/>
      <c r="C554" s="65"/>
      <c r="D554" s="65"/>
      <c r="E554" s="65"/>
      <c r="F554" s="65"/>
      <c r="G554" s="65"/>
    </row>
    <row r="555" spans="1:7">
      <c r="A555" s="65"/>
      <c r="B555" s="65"/>
      <c r="C555" s="65"/>
      <c r="D555" s="65"/>
      <c r="E555" s="65"/>
      <c r="F555" s="65"/>
      <c r="G555" s="65"/>
    </row>
    <row r="556" spans="1:7">
      <c r="A556" s="65"/>
      <c r="B556" s="65"/>
      <c r="C556" s="65"/>
      <c r="D556" s="65"/>
      <c r="E556" s="65"/>
      <c r="F556" s="65"/>
      <c r="G556" s="65"/>
    </row>
    <row r="557" spans="1:7">
      <c r="A557" s="65"/>
      <c r="B557" s="65"/>
      <c r="C557" s="65"/>
      <c r="D557" s="65"/>
      <c r="E557" s="65"/>
      <c r="F557" s="65"/>
      <c r="G557" s="65"/>
    </row>
    <row r="558" spans="1:7">
      <c r="A558" s="65"/>
      <c r="B558" s="65"/>
      <c r="C558" s="65"/>
      <c r="D558" s="65"/>
      <c r="E558" s="65"/>
      <c r="F558" s="65"/>
      <c r="G558" s="65"/>
    </row>
    <row r="559" spans="1:7">
      <c r="A559" s="65"/>
      <c r="B559" s="65"/>
      <c r="C559" s="65"/>
      <c r="D559" s="65"/>
      <c r="E559" s="65"/>
      <c r="F559" s="65"/>
      <c r="G559" s="65"/>
    </row>
    <row r="560" spans="1:7">
      <c r="A560" s="65"/>
      <c r="B560" s="65"/>
      <c r="C560" s="65"/>
      <c r="D560" s="65"/>
      <c r="E560" s="65"/>
      <c r="F560" s="65"/>
      <c r="G560" s="65"/>
    </row>
    <row r="561" spans="1:7">
      <c r="A561" s="65"/>
      <c r="B561" s="65"/>
      <c r="C561" s="65"/>
      <c r="D561" s="65"/>
      <c r="E561" s="65"/>
      <c r="F561" s="65"/>
      <c r="G561" s="65"/>
    </row>
    <row r="562" spans="1:7">
      <c r="A562" s="65"/>
      <c r="B562" s="65"/>
      <c r="C562" s="65"/>
      <c r="D562" s="65"/>
      <c r="E562" s="65"/>
      <c r="F562" s="65"/>
      <c r="G562" s="65"/>
    </row>
    <row r="563" spans="1:7">
      <c r="A563" s="65"/>
      <c r="B563" s="65"/>
      <c r="C563" s="65"/>
      <c r="D563" s="65"/>
      <c r="E563" s="65"/>
      <c r="F563" s="65"/>
      <c r="G563" s="65"/>
    </row>
    <row r="564" spans="1:7">
      <c r="A564" s="65"/>
      <c r="B564" s="65"/>
      <c r="C564" s="65"/>
      <c r="D564" s="65"/>
      <c r="E564" s="65"/>
      <c r="F564" s="65"/>
      <c r="G564" s="65"/>
    </row>
    <row r="565" spans="1:7">
      <c r="A565" s="65"/>
      <c r="B565" s="65"/>
      <c r="C565" s="65"/>
      <c r="D565" s="65"/>
      <c r="E565" s="65"/>
      <c r="F565" s="65"/>
      <c r="G565" s="65"/>
    </row>
    <row r="566" spans="1:7">
      <c r="A566" s="65"/>
      <c r="B566" s="65"/>
      <c r="C566" s="65"/>
      <c r="D566" s="65"/>
      <c r="E566" s="65"/>
      <c r="F566" s="65"/>
      <c r="G566" s="65"/>
    </row>
    <row r="567" spans="1:7">
      <c r="A567" s="65"/>
      <c r="B567" s="65"/>
      <c r="C567" s="65"/>
      <c r="D567" s="65"/>
      <c r="E567" s="65"/>
      <c r="F567" s="65"/>
      <c r="G567" s="65"/>
    </row>
    <row r="568" spans="1:7">
      <c r="A568" s="65"/>
      <c r="B568" s="65"/>
      <c r="C568" s="65"/>
      <c r="D568" s="65"/>
      <c r="E568" s="65"/>
      <c r="F568" s="65"/>
      <c r="G568" s="65"/>
    </row>
    <row r="569" spans="1:7">
      <c r="A569" s="65"/>
      <c r="B569" s="65"/>
      <c r="C569" s="65"/>
      <c r="D569" s="65"/>
      <c r="E569" s="65"/>
      <c r="F569" s="65"/>
      <c r="G569" s="65"/>
    </row>
    <row r="570" spans="1:7">
      <c r="A570" s="65"/>
      <c r="B570" s="65"/>
      <c r="C570" s="65"/>
      <c r="D570" s="65"/>
      <c r="E570" s="65"/>
      <c r="F570" s="65"/>
      <c r="G570" s="65"/>
    </row>
    <row r="571" spans="1:7">
      <c r="A571" s="65"/>
      <c r="B571" s="65"/>
      <c r="C571" s="65"/>
      <c r="D571" s="65"/>
      <c r="E571" s="65"/>
      <c r="F571" s="65"/>
      <c r="G571" s="65"/>
    </row>
    <row r="572" spans="1:7">
      <c r="A572" s="65"/>
      <c r="B572" s="65"/>
      <c r="C572" s="65"/>
      <c r="D572" s="65"/>
      <c r="E572" s="65"/>
      <c r="F572" s="65"/>
      <c r="G572" s="65"/>
    </row>
    <row r="573" spans="1:7">
      <c r="A573" s="65"/>
      <c r="B573" s="65"/>
      <c r="C573" s="65"/>
      <c r="D573" s="65"/>
      <c r="E573" s="65"/>
      <c r="F573" s="65"/>
      <c r="G573" s="65"/>
    </row>
    <row r="574" spans="1:7">
      <c r="A574" s="65"/>
      <c r="B574" s="65"/>
      <c r="C574" s="65"/>
      <c r="D574" s="65"/>
      <c r="E574" s="65"/>
      <c r="F574" s="65"/>
      <c r="G574" s="65"/>
    </row>
    <row r="575" spans="1:7">
      <c r="A575" s="65"/>
      <c r="B575" s="65"/>
      <c r="C575" s="65"/>
      <c r="D575" s="65"/>
      <c r="E575" s="65"/>
      <c r="F575" s="65"/>
      <c r="G575" s="65"/>
    </row>
    <row r="576" spans="1:7">
      <c r="A576" s="65"/>
      <c r="B576" s="65"/>
      <c r="C576" s="65"/>
      <c r="D576" s="65"/>
      <c r="E576" s="65"/>
      <c r="F576" s="65"/>
      <c r="G576" s="65"/>
    </row>
    <row r="577" spans="1:7">
      <c r="A577" s="65"/>
      <c r="B577" s="65"/>
      <c r="C577" s="65"/>
      <c r="D577" s="65"/>
      <c r="E577" s="65"/>
      <c r="F577" s="65"/>
      <c r="G577" s="65"/>
    </row>
    <row r="578" spans="1:7">
      <c r="A578" s="65"/>
      <c r="B578" s="65"/>
      <c r="C578" s="65"/>
      <c r="D578" s="65"/>
      <c r="E578" s="65"/>
      <c r="F578" s="65"/>
      <c r="G578" s="65"/>
    </row>
    <row r="579" spans="1:7">
      <c r="A579" s="65"/>
      <c r="B579" s="65"/>
      <c r="C579" s="65"/>
      <c r="D579" s="65"/>
      <c r="E579" s="65"/>
      <c r="F579" s="65"/>
      <c r="G579" s="65"/>
    </row>
    <row r="580" spans="1:7">
      <c r="A580" s="65"/>
      <c r="B580" s="65"/>
      <c r="C580" s="65"/>
      <c r="D580" s="65"/>
      <c r="E580" s="65"/>
      <c r="F580" s="65"/>
      <c r="G580" s="65"/>
    </row>
    <row r="581" spans="1:7">
      <c r="A581" s="65"/>
      <c r="B581" s="65"/>
      <c r="C581" s="65"/>
      <c r="D581" s="65"/>
      <c r="E581" s="65"/>
      <c r="F581" s="65"/>
      <c r="G581" s="65"/>
    </row>
    <row r="582" spans="1:7">
      <c r="A582" s="65"/>
      <c r="B582" s="65"/>
      <c r="C582" s="65"/>
      <c r="D582" s="65"/>
      <c r="E582" s="65"/>
      <c r="F582" s="65"/>
      <c r="G582" s="65"/>
    </row>
    <row r="583" spans="1:7">
      <c r="A583" s="65"/>
      <c r="B583" s="65"/>
      <c r="C583" s="65"/>
      <c r="D583" s="65"/>
      <c r="E583" s="65"/>
      <c r="F583" s="65"/>
      <c r="G583" s="65"/>
    </row>
    <row r="584" spans="1:7">
      <c r="A584" s="65"/>
      <c r="B584" s="65"/>
      <c r="C584" s="65"/>
      <c r="D584" s="65"/>
      <c r="E584" s="65"/>
      <c r="F584" s="65"/>
      <c r="G584" s="65"/>
    </row>
    <row r="585" spans="1:7">
      <c r="A585" s="65"/>
      <c r="B585" s="65"/>
      <c r="C585" s="65"/>
      <c r="D585" s="65"/>
      <c r="E585" s="65"/>
      <c r="F585" s="65"/>
      <c r="G585" s="65"/>
    </row>
    <row r="586" spans="1:7">
      <c r="A586" s="65"/>
      <c r="B586" s="65"/>
      <c r="C586" s="65"/>
      <c r="D586" s="65"/>
      <c r="E586" s="65"/>
      <c r="F586" s="65"/>
      <c r="G586" s="65"/>
    </row>
    <row r="587" spans="1:7">
      <c r="A587" s="65"/>
      <c r="B587" s="65"/>
      <c r="C587" s="65"/>
      <c r="D587" s="65"/>
      <c r="E587" s="65"/>
      <c r="F587" s="65"/>
      <c r="G587" s="65"/>
    </row>
    <row r="588" spans="1:7">
      <c r="A588" s="65"/>
      <c r="B588" s="65"/>
      <c r="C588" s="65"/>
      <c r="D588" s="65"/>
      <c r="E588" s="65"/>
      <c r="F588" s="65"/>
      <c r="G588" s="65"/>
    </row>
    <row r="589" spans="1:7">
      <c r="A589" s="65"/>
      <c r="B589" s="65"/>
      <c r="C589" s="65"/>
      <c r="D589" s="65"/>
      <c r="E589" s="65"/>
      <c r="F589" s="65"/>
      <c r="G589" s="65"/>
    </row>
    <row r="590" spans="1:7">
      <c r="A590" s="65"/>
      <c r="B590" s="65"/>
      <c r="C590" s="65"/>
      <c r="D590" s="65"/>
      <c r="E590" s="65"/>
      <c r="F590" s="65"/>
      <c r="G590" s="65"/>
    </row>
    <row r="591" spans="1:7">
      <c r="A591" s="65"/>
      <c r="B591" s="65"/>
      <c r="C591" s="65"/>
      <c r="D591" s="65"/>
      <c r="E591" s="65"/>
      <c r="F591" s="65"/>
      <c r="G591" s="65"/>
    </row>
    <row r="592" spans="1:7">
      <c r="A592" s="65"/>
      <c r="B592" s="65"/>
      <c r="C592" s="65"/>
      <c r="D592" s="65"/>
      <c r="E592" s="65"/>
      <c r="F592" s="65"/>
      <c r="G592" s="65"/>
    </row>
    <row r="593" spans="1:7">
      <c r="A593" s="65"/>
      <c r="B593" s="65"/>
      <c r="C593" s="65"/>
      <c r="D593" s="65"/>
      <c r="E593" s="65"/>
      <c r="F593" s="65"/>
      <c r="G593" s="65"/>
    </row>
    <row r="594" spans="1:7">
      <c r="A594" s="65"/>
      <c r="B594" s="65"/>
      <c r="C594" s="65"/>
      <c r="D594" s="65"/>
      <c r="E594" s="65"/>
      <c r="F594" s="65"/>
      <c r="G594" s="65"/>
    </row>
    <row r="595" spans="1:7">
      <c r="A595" s="65"/>
      <c r="B595" s="65"/>
      <c r="C595" s="65"/>
      <c r="D595" s="65"/>
      <c r="E595" s="65"/>
      <c r="F595" s="65"/>
      <c r="G595" s="65"/>
    </row>
    <row r="596" spans="1:7">
      <c r="A596" s="65"/>
      <c r="B596" s="65"/>
      <c r="C596" s="65"/>
      <c r="D596" s="65"/>
      <c r="E596" s="65"/>
      <c r="F596" s="65"/>
      <c r="G596" s="65"/>
    </row>
    <row r="597" spans="1:7">
      <c r="A597" s="65"/>
      <c r="B597" s="65"/>
      <c r="C597" s="65"/>
      <c r="D597" s="65"/>
      <c r="E597" s="65"/>
      <c r="F597" s="65"/>
      <c r="G597" s="65"/>
    </row>
    <row r="598" spans="1:7">
      <c r="A598" s="65"/>
      <c r="B598" s="65"/>
      <c r="C598" s="65"/>
      <c r="D598" s="65"/>
      <c r="E598" s="65"/>
      <c r="F598" s="65"/>
      <c r="G598" s="65"/>
    </row>
    <row r="599" spans="1:7">
      <c r="A599" s="65"/>
      <c r="B599" s="65"/>
      <c r="C599" s="65"/>
      <c r="D599" s="65"/>
      <c r="E599" s="65"/>
      <c r="F599" s="65"/>
      <c r="G599" s="65"/>
    </row>
    <row r="600" spans="1:7">
      <c r="A600" s="65"/>
      <c r="B600" s="65"/>
      <c r="C600" s="65"/>
      <c r="D600" s="65"/>
      <c r="E600" s="65"/>
      <c r="F600" s="65"/>
      <c r="G600" s="65"/>
    </row>
    <row r="601" spans="1:7">
      <c r="A601" s="65"/>
      <c r="B601" s="65"/>
      <c r="C601" s="65"/>
      <c r="D601" s="65"/>
      <c r="E601" s="65"/>
      <c r="F601" s="65"/>
      <c r="G601" s="65"/>
    </row>
    <row r="602" spans="1:7">
      <c r="A602" s="65"/>
      <c r="B602" s="65"/>
      <c r="C602" s="65"/>
      <c r="D602" s="65"/>
      <c r="E602" s="65"/>
      <c r="F602" s="65"/>
      <c r="G602" s="65"/>
    </row>
    <row r="603" spans="1:7">
      <c r="A603" s="65"/>
      <c r="B603" s="65"/>
      <c r="C603" s="65"/>
      <c r="D603" s="65"/>
      <c r="E603" s="65"/>
      <c r="F603" s="65"/>
      <c r="G603" s="65"/>
    </row>
    <row r="604" spans="1:7">
      <c r="A604" s="65"/>
      <c r="B604" s="65"/>
      <c r="C604" s="65"/>
      <c r="D604" s="65"/>
      <c r="E604" s="65"/>
      <c r="F604" s="65"/>
      <c r="G604" s="65"/>
    </row>
    <row r="605" spans="1:7">
      <c r="A605" s="65"/>
      <c r="B605" s="65"/>
      <c r="C605" s="65"/>
      <c r="D605" s="65"/>
      <c r="E605" s="65"/>
      <c r="F605" s="65"/>
      <c r="G605" s="65"/>
    </row>
    <row r="606" spans="1:7">
      <c r="A606" s="65"/>
      <c r="B606" s="65"/>
      <c r="C606" s="65"/>
      <c r="D606" s="65"/>
      <c r="E606" s="65"/>
      <c r="F606" s="65"/>
      <c r="G606" s="65"/>
    </row>
    <row r="607" spans="1:7">
      <c r="A607" s="65"/>
      <c r="B607" s="65"/>
      <c r="C607" s="65"/>
      <c r="D607" s="65"/>
      <c r="E607" s="65"/>
      <c r="F607" s="65"/>
      <c r="G607" s="65"/>
    </row>
    <row r="608" spans="1:7">
      <c r="A608" s="65"/>
      <c r="B608" s="65"/>
      <c r="C608" s="65"/>
      <c r="D608" s="65"/>
      <c r="E608" s="65"/>
      <c r="F608" s="65"/>
      <c r="G608" s="65"/>
    </row>
    <row r="609" spans="1:7">
      <c r="A609" s="65"/>
      <c r="B609" s="65"/>
      <c r="C609" s="65"/>
      <c r="D609" s="65"/>
      <c r="E609" s="65"/>
      <c r="F609" s="65"/>
      <c r="G609" s="65"/>
    </row>
    <row r="610" spans="1:7">
      <c r="A610" s="65"/>
      <c r="B610" s="65"/>
      <c r="C610" s="65"/>
      <c r="D610" s="65"/>
      <c r="E610" s="65"/>
      <c r="F610" s="65"/>
      <c r="G610" s="65"/>
    </row>
    <row r="611" spans="1:7">
      <c r="A611" s="65"/>
      <c r="B611" s="65"/>
      <c r="C611" s="65"/>
      <c r="D611" s="65"/>
      <c r="E611" s="65"/>
      <c r="F611" s="65"/>
      <c r="G611" s="65"/>
    </row>
    <row r="612" spans="1:7">
      <c r="A612" s="65"/>
      <c r="B612" s="65"/>
      <c r="C612" s="65"/>
      <c r="D612" s="65"/>
      <c r="E612" s="65"/>
      <c r="F612" s="65"/>
      <c r="G612" s="65"/>
    </row>
    <row r="613" spans="1:7">
      <c r="A613" s="65"/>
      <c r="B613" s="65"/>
      <c r="C613" s="65"/>
      <c r="D613" s="65"/>
      <c r="E613" s="65"/>
      <c r="F613" s="65"/>
      <c r="G613" s="65"/>
    </row>
    <row r="614" spans="1:7">
      <c r="A614" s="65"/>
      <c r="B614" s="65"/>
      <c r="C614" s="65"/>
      <c r="D614" s="65"/>
      <c r="E614" s="65"/>
      <c r="F614" s="65"/>
      <c r="G614" s="65"/>
    </row>
    <row r="615" spans="1:7">
      <c r="A615" s="65"/>
      <c r="B615" s="65"/>
      <c r="C615" s="65"/>
      <c r="D615" s="65"/>
      <c r="E615" s="65"/>
      <c r="F615" s="65"/>
      <c r="G615" s="65"/>
    </row>
    <row r="616" spans="1:7">
      <c r="A616" s="65"/>
      <c r="B616" s="65"/>
      <c r="C616" s="65"/>
      <c r="D616" s="65"/>
      <c r="E616" s="65"/>
      <c r="F616" s="65"/>
      <c r="G616" s="65"/>
    </row>
    <row r="617" spans="1:7">
      <c r="A617" s="65"/>
      <c r="B617" s="65"/>
      <c r="C617" s="65"/>
      <c r="D617" s="65"/>
      <c r="E617" s="65"/>
      <c r="F617" s="65"/>
      <c r="G617" s="65"/>
    </row>
    <row r="618" spans="1:7">
      <c r="A618" s="65"/>
      <c r="B618" s="65"/>
      <c r="C618" s="65"/>
      <c r="D618" s="65"/>
      <c r="E618" s="65"/>
      <c r="F618" s="65"/>
      <c r="G618" s="65"/>
    </row>
    <row r="619" spans="1:7">
      <c r="A619" s="65"/>
      <c r="B619" s="65"/>
      <c r="C619" s="65"/>
      <c r="D619" s="65"/>
      <c r="E619" s="65"/>
      <c r="F619" s="65"/>
      <c r="G619" s="65"/>
    </row>
    <row r="620" spans="1:7">
      <c r="A620" s="65"/>
      <c r="B620" s="65"/>
      <c r="C620" s="65"/>
      <c r="D620" s="65"/>
      <c r="E620" s="65"/>
      <c r="F620" s="65"/>
      <c r="G620" s="65"/>
    </row>
    <row r="621" spans="1:7">
      <c r="A621" s="65"/>
      <c r="B621" s="65"/>
      <c r="C621" s="65"/>
      <c r="D621" s="65"/>
      <c r="E621" s="65"/>
      <c r="F621" s="65"/>
      <c r="G621" s="65"/>
    </row>
    <row r="622" spans="1:7">
      <c r="A622" s="65"/>
      <c r="B622" s="65"/>
      <c r="C622" s="65"/>
      <c r="D622" s="65"/>
      <c r="E622" s="65"/>
      <c r="F622" s="65"/>
      <c r="G622" s="65"/>
    </row>
    <row r="623" spans="1:7">
      <c r="A623" s="65"/>
      <c r="B623" s="65"/>
      <c r="C623" s="65"/>
      <c r="D623" s="65"/>
      <c r="E623" s="65"/>
      <c r="F623" s="65"/>
      <c r="G623" s="65"/>
    </row>
    <row r="624" spans="1:7">
      <c r="A624" s="65"/>
      <c r="B624" s="65"/>
      <c r="C624" s="65"/>
      <c r="D624" s="65"/>
      <c r="E624" s="65"/>
      <c r="F624" s="65"/>
      <c r="G624" s="65"/>
    </row>
    <row r="625" spans="1:7">
      <c r="A625" s="65"/>
      <c r="B625" s="65"/>
      <c r="C625" s="65"/>
      <c r="D625" s="65"/>
      <c r="E625" s="65"/>
      <c r="F625" s="65"/>
      <c r="G625" s="65"/>
    </row>
    <row r="626" spans="1:7">
      <c r="A626" s="65"/>
      <c r="B626" s="65"/>
      <c r="C626" s="65"/>
      <c r="D626" s="65"/>
      <c r="E626" s="65"/>
      <c r="F626" s="65"/>
      <c r="G626" s="65"/>
    </row>
    <row r="627" spans="1:7">
      <c r="A627" s="65"/>
      <c r="B627" s="65"/>
      <c r="C627" s="65"/>
      <c r="D627" s="65"/>
      <c r="E627" s="65"/>
      <c r="F627" s="65"/>
      <c r="G627" s="65"/>
    </row>
    <row r="628" spans="1:7">
      <c r="A628" s="65"/>
      <c r="B628" s="65"/>
      <c r="C628" s="65"/>
      <c r="D628" s="65"/>
      <c r="E628" s="65"/>
      <c r="F628" s="65"/>
      <c r="G628" s="65"/>
    </row>
    <row r="629" spans="1:7">
      <c r="A629" s="65"/>
      <c r="B629" s="65"/>
      <c r="C629" s="65"/>
      <c r="D629" s="65"/>
      <c r="E629" s="65"/>
      <c r="F629" s="65"/>
      <c r="G629" s="65"/>
    </row>
    <row r="630" spans="1:7">
      <c r="A630" s="65"/>
      <c r="B630" s="65"/>
      <c r="C630" s="65"/>
      <c r="D630" s="65"/>
      <c r="E630" s="65"/>
      <c r="F630" s="65"/>
      <c r="G630" s="65"/>
    </row>
    <row r="631" spans="1:7">
      <c r="A631" s="65"/>
      <c r="B631" s="65"/>
      <c r="C631" s="65"/>
      <c r="D631" s="65"/>
      <c r="E631" s="65"/>
      <c r="F631" s="65"/>
      <c r="G631" s="65"/>
    </row>
    <row r="632" spans="1:7">
      <c r="A632" s="65"/>
      <c r="B632" s="65"/>
      <c r="C632" s="65"/>
      <c r="D632" s="65"/>
      <c r="E632" s="65"/>
      <c r="F632" s="65"/>
      <c r="G632" s="65"/>
    </row>
    <row r="633" spans="1:7">
      <c r="A633" s="65"/>
      <c r="B633" s="65"/>
      <c r="C633" s="65"/>
      <c r="D633" s="65"/>
      <c r="E633" s="65"/>
      <c r="F633" s="65"/>
      <c r="G633" s="65"/>
    </row>
    <row r="634" spans="1:7">
      <c r="A634" s="65"/>
      <c r="B634" s="65"/>
      <c r="C634" s="65"/>
      <c r="D634" s="65"/>
      <c r="E634" s="65"/>
      <c r="F634" s="65"/>
      <c r="G634" s="65"/>
    </row>
    <row r="635" spans="1:7">
      <c r="A635" s="65"/>
      <c r="B635" s="65"/>
      <c r="C635" s="65"/>
      <c r="D635" s="65"/>
      <c r="E635" s="65"/>
      <c r="F635" s="65"/>
      <c r="G635" s="65"/>
    </row>
    <row r="636" spans="1:7">
      <c r="A636" s="65"/>
      <c r="B636" s="65"/>
      <c r="C636" s="65"/>
      <c r="D636" s="65"/>
      <c r="E636" s="65"/>
      <c r="F636" s="65"/>
      <c r="G636" s="65"/>
    </row>
    <row r="637" spans="1:7">
      <c r="A637" s="65"/>
      <c r="B637" s="65"/>
      <c r="C637" s="65"/>
      <c r="D637" s="65"/>
      <c r="E637" s="65"/>
      <c r="F637" s="65"/>
      <c r="G637" s="65"/>
    </row>
    <row r="638" spans="1:7">
      <c r="A638" s="65"/>
      <c r="B638" s="65"/>
      <c r="C638" s="65"/>
      <c r="D638" s="65"/>
      <c r="E638" s="65"/>
      <c r="F638" s="65"/>
      <c r="G638" s="65"/>
    </row>
    <row r="639" spans="1:7">
      <c r="A639" s="65"/>
      <c r="B639" s="65"/>
      <c r="C639" s="65"/>
      <c r="D639" s="65"/>
      <c r="E639" s="65"/>
      <c r="F639" s="65"/>
      <c r="G639" s="65"/>
    </row>
    <row r="640" spans="1:7">
      <c r="A640" s="65"/>
      <c r="B640" s="65"/>
      <c r="C640" s="65"/>
      <c r="D640" s="65"/>
      <c r="E640" s="65"/>
      <c r="F640" s="65"/>
      <c r="G640" s="65"/>
    </row>
    <row r="641" spans="1:7">
      <c r="A641" s="65"/>
      <c r="B641" s="65"/>
      <c r="C641" s="65"/>
      <c r="D641" s="65"/>
      <c r="E641" s="65"/>
      <c r="F641" s="65"/>
      <c r="G641" s="65"/>
    </row>
    <row r="642" spans="1:7">
      <c r="A642" s="65"/>
      <c r="B642" s="65"/>
      <c r="C642" s="65"/>
      <c r="D642" s="65"/>
      <c r="E642" s="65"/>
      <c r="F642" s="65"/>
      <c r="G642" s="65"/>
    </row>
    <row r="643" spans="1:7">
      <c r="A643" s="65"/>
      <c r="B643" s="65"/>
      <c r="C643" s="65"/>
      <c r="D643" s="65"/>
      <c r="E643" s="65"/>
      <c r="F643" s="65"/>
      <c r="G643" s="65"/>
    </row>
    <row r="644" spans="1:7">
      <c r="A644" s="65"/>
      <c r="B644" s="65"/>
      <c r="C644" s="65"/>
      <c r="D644" s="65"/>
      <c r="E644" s="65"/>
      <c r="F644" s="65"/>
      <c r="G644" s="65"/>
    </row>
    <row r="645" spans="1:7">
      <c r="A645" s="65"/>
      <c r="B645" s="65"/>
      <c r="C645" s="65"/>
      <c r="D645" s="65"/>
      <c r="E645" s="65"/>
      <c r="F645" s="65"/>
      <c r="G645" s="65"/>
    </row>
    <row r="646" spans="1:7">
      <c r="A646" s="65"/>
      <c r="B646" s="65"/>
      <c r="C646" s="65"/>
      <c r="D646" s="65"/>
      <c r="E646" s="65"/>
      <c r="F646" s="65"/>
      <c r="G646" s="65"/>
    </row>
    <row r="647" spans="1:7">
      <c r="A647" s="65"/>
      <c r="B647" s="65"/>
      <c r="C647" s="65"/>
      <c r="D647" s="65"/>
      <c r="E647" s="65"/>
      <c r="F647" s="65"/>
      <c r="G647" s="65"/>
    </row>
    <row r="648" spans="1:7">
      <c r="A648" s="65"/>
      <c r="B648" s="65"/>
      <c r="C648" s="65"/>
      <c r="D648" s="65"/>
      <c r="E648" s="65"/>
      <c r="F648" s="65"/>
      <c r="G648" s="65"/>
    </row>
    <row r="649" spans="1:7">
      <c r="A649" s="65"/>
      <c r="B649" s="65"/>
      <c r="C649" s="65"/>
      <c r="D649" s="65"/>
      <c r="E649" s="65"/>
      <c r="F649" s="65"/>
      <c r="G649" s="65"/>
    </row>
    <row r="650" spans="1:7">
      <c r="A650" s="65"/>
      <c r="B650" s="65"/>
      <c r="C650" s="65"/>
      <c r="D650" s="65"/>
      <c r="E650" s="65"/>
      <c r="F650" s="65"/>
      <c r="G650" s="65"/>
    </row>
    <row r="651" spans="1:7">
      <c r="A651" s="65"/>
      <c r="B651" s="65"/>
      <c r="C651" s="65"/>
      <c r="D651" s="65"/>
      <c r="E651" s="65"/>
      <c r="F651" s="65"/>
      <c r="G651" s="65"/>
    </row>
    <row r="652" spans="1:7">
      <c r="A652" s="65"/>
      <c r="B652" s="65"/>
      <c r="C652" s="65"/>
      <c r="D652" s="65"/>
      <c r="E652" s="65"/>
      <c r="F652" s="65"/>
      <c r="G652" s="65"/>
    </row>
    <row r="653" spans="1:7">
      <c r="A653" s="65"/>
      <c r="B653" s="65"/>
      <c r="C653" s="65"/>
      <c r="D653" s="65"/>
      <c r="E653" s="65"/>
      <c r="F653" s="65"/>
      <c r="G653" s="65"/>
    </row>
    <row r="654" spans="1:7">
      <c r="A654" s="65"/>
      <c r="B654" s="65"/>
      <c r="C654" s="65"/>
      <c r="D654" s="65"/>
      <c r="E654" s="65"/>
      <c r="F654" s="65"/>
      <c r="G654" s="65"/>
    </row>
    <row r="655" spans="1:7">
      <c r="A655" s="65"/>
      <c r="B655" s="65"/>
      <c r="C655" s="65"/>
      <c r="D655" s="65"/>
      <c r="E655" s="65"/>
      <c r="F655" s="65"/>
      <c r="G655" s="65"/>
    </row>
    <row r="656" spans="1:7">
      <c r="A656" s="65"/>
      <c r="B656" s="65"/>
      <c r="C656" s="65"/>
      <c r="D656" s="65"/>
      <c r="E656" s="65"/>
      <c r="F656" s="65"/>
      <c r="G656" s="65"/>
    </row>
    <row r="657" spans="1:7">
      <c r="A657" s="65"/>
      <c r="B657" s="65"/>
      <c r="C657" s="65"/>
      <c r="D657" s="65"/>
      <c r="E657" s="65"/>
      <c r="F657" s="65"/>
      <c r="G657" s="65"/>
    </row>
    <row r="658" spans="1:7">
      <c r="A658" s="65"/>
      <c r="B658" s="65"/>
      <c r="C658" s="65"/>
      <c r="D658" s="65"/>
      <c r="E658" s="65"/>
      <c r="F658" s="65"/>
      <c r="G658" s="65"/>
    </row>
    <row r="659" spans="1:7">
      <c r="A659" s="65"/>
      <c r="B659" s="65"/>
      <c r="C659" s="65"/>
      <c r="D659" s="65"/>
      <c r="E659" s="65"/>
      <c r="F659" s="65"/>
      <c r="G659" s="65"/>
    </row>
    <row r="660" spans="1:7">
      <c r="A660" s="65"/>
      <c r="B660" s="65"/>
      <c r="C660" s="65"/>
      <c r="D660" s="65"/>
      <c r="E660" s="65"/>
      <c r="F660" s="65"/>
      <c r="G660" s="65"/>
    </row>
    <row r="661" spans="1:7">
      <c r="A661" s="65"/>
      <c r="B661" s="65"/>
      <c r="C661" s="65"/>
      <c r="D661" s="65"/>
      <c r="E661" s="65"/>
      <c r="F661" s="65"/>
      <c r="G661" s="65"/>
    </row>
    <row r="662" spans="1:7">
      <c r="A662" s="65"/>
      <c r="B662" s="65"/>
      <c r="C662" s="65"/>
      <c r="D662" s="65"/>
      <c r="E662" s="65"/>
      <c r="F662" s="65"/>
      <c r="G662" s="65"/>
    </row>
    <row r="663" spans="1:7">
      <c r="A663" s="65"/>
      <c r="B663" s="65"/>
      <c r="C663" s="65"/>
      <c r="D663" s="65"/>
      <c r="E663" s="65"/>
      <c r="F663" s="65"/>
      <c r="G663" s="65"/>
    </row>
    <row r="664" spans="1:7">
      <c r="A664" s="65"/>
      <c r="B664" s="65"/>
      <c r="C664" s="65"/>
      <c r="D664" s="65"/>
      <c r="E664" s="65"/>
      <c r="F664" s="65"/>
      <c r="G664" s="65"/>
    </row>
    <row r="665" spans="1:7">
      <c r="A665" s="65"/>
      <c r="B665" s="65"/>
      <c r="C665" s="65"/>
      <c r="D665" s="65"/>
      <c r="E665" s="65"/>
      <c r="F665" s="65"/>
      <c r="G665" s="65"/>
    </row>
    <row r="666" spans="1:7">
      <c r="A666" s="65"/>
      <c r="B666" s="65"/>
      <c r="C666" s="65"/>
      <c r="D666" s="65"/>
      <c r="E666" s="65"/>
      <c r="F666" s="65"/>
      <c r="G666" s="65"/>
    </row>
    <row r="667" spans="1:7">
      <c r="A667" s="65"/>
      <c r="B667" s="65"/>
      <c r="C667" s="65"/>
      <c r="D667" s="65"/>
      <c r="E667" s="65"/>
      <c r="F667" s="65"/>
      <c r="G667" s="65"/>
    </row>
    <row r="668" spans="1:7">
      <c r="A668" s="65"/>
      <c r="B668" s="65"/>
      <c r="C668" s="65"/>
      <c r="D668" s="65"/>
      <c r="E668" s="65"/>
      <c r="F668" s="65"/>
      <c r="G668" s="65"/>
    </row>
    <row r="669" spans="1:7">
      <c r="A669" s="65"/>
      <c r="B669" s="65"/>
      <c r="C669" s="65"/>
      <c r="D669" s="65"/>
      <c r="E669" s="65"/>
      <c r="F669" s="65"/>
      <c r="G669" s="65"/>
    </row>
    <row r="670" spans="1:7">
      <c r="A670" s="65"/>
      <c r="B670" s="65"/>
      <c r="C670" s="65"/>
      <c r="D670" s="65"/>
      <c r="E670" s="65"/>
      <c r="F670" s="65"/>
      <c r="G670" s="65"/>
    </row>
    <row r="671" spans="1:7">
      <c r="A671" s="65"/>
      <c r="B671" s="65"/>
      <c r="C671" s="65"/>
      <c r="D671" s="65"/>
      <c r="E671" s="65"/>
      <c r="F671" s="65"/>
      <c r="G671" s="65"/>
    </row>
    <row r="672" spans="1:7">
      <c r="A672" s="65"/>
      <c r="B672" s="65"/>
      <c r="C672" s="65"/>
      <c r="D672" s="65"/>
      <c r="E672" s="65"/>
      <c r="F672" s="65"/>
      <c r="G672" s="65"/>
    </row>
    <row r="673" spans="1:7">
      <c r="A673" s="65"/>
      <c r="B673" s="65"/>
      <c r="C673" s="65"/>
      <c r="D673" s="65"/>
      <c r="E673" s="65"/>
      <c r="F673" s="65"/>
      <c r="G673" s="65"/>
    </row>
    <row r="674" spans="1:7">
      <c r="A674" s="65"/>
      <c r="B674" s="65"/>
      <c r="C674" s="65"/>
      <c r="D674" s="65"/>
      <c r="E674" s="65"/>
      <c r="F674" s="65"/>
      <c r="G674" s="65"/>
    </row>
    <row r="675" spans="1:7">
      <c r="A675" s="65"/>
      <c r="B675" s="65"/>
      <c r="C675" s="65"/>
      <c r="D675" s="65"/>
      <c r="E675" s="65"/>
      <c r="F675" s="65"/>
      <c r="G675" s="65"/>
    </row>
    <row r="676" spans="1:7">
      <c r="A676" s="65"/>
      <c r="B676" s="65"/>
      <c r="C676" s="65"/>
      <c r="D676" s="65"/>
      <c r="E676" s="65"/>
      <c r="F676" s="65"/>
      <c r="G676" s="65"/>
    </row>
    <row r="677" spans="1:7">
      <c r="A677" s="65"/>
      <c r="B677" s="65"/>
      <c r="C677" s="65"/>
      <c r="D677" s="65"/>
      <c r="E677" s="65"/>
      <c r="F677" s="65"/>
      <c r="G677" s="65"/>
    </row>
    <row r="678" spans="1:7">
      <c r="A678" s="65"/>
      <c r="B678" s="65"/>
      <c r="C678" s="65"/>
      <c r="D678" s="65"/>
      <c r="E678" s="65"/>
      <c r="F678" s="65"/>
      <c r="G678" s="65"/>
    </row>
    <row r="679" spans="1:7">
      <c r="A679" s="65"/>
      <c r="B679" s="65"/>
      <c r="C679" s="65"/>
      <c r="D679" s="65"/>
      <c r="E679" s="65"/>
      <c r="F679" s="65"/>
      <c r="G679" s="65"/>
    </row>
    <row r="680" spans="1:7">
      <c r="A680" s="65"/>
      <c r="B680" s="65"/>
      <c r="C680" s="65"/>
      <c r="D680" s="65"/>
      <c r="E680" s="65"/>
      <c r="F680" s="65"/>
      <c r="G680" s="65"/>
    </row>
    <row r="681" spans="1:7">
      <c r="A681" s="65"/>
      <c r="B681" s="65"/>
      <c r="C681" s="65"/>
      <c r="D681" s="65"/>
      <c r="E681" s="65"/>
      <c r="F681" s="65"/>
      <c r="G681" s="65"/>
    </row>
    <row r="682" spans="1:7">
      <c r="A682" s="65"/>
      <c r="B682" s="65"/>
      <c r="C682" s="65"/>
      <c r="D682" s="65"/>
      <c r="E682" s="65"/>
      <c r="F682" s="65"/>
      <c r="G682" s="65"/>
    </row>
    <row r="683" spans="1:7">
      <c r="A683" s="65"/>
      <c r="B683" s="65"/>
      <c r="C683" s="65"/>
      <c r="D683" s="65"/>
      <c r="E683" s="65"/>
      <c r="F683" s="65"/>
      <c r="G683" s="65"/>
    </row>
    <row r="684" spans="1:7">
      <c r="A684" s="65"/>
      <c r="B684" s="65"/>
      <c r="C684" s="65"/>
      <c r="D684" s="65"/>
      <c r="E684" s="65"/>
      <c r="F684" s="65"/>
      <c r="G684" s="65"/>
    </row>
    <row r="685" spans="1:7">
      <c r="A685" s="65"/>
      <c r="B685" s="65"/>
      <c r="C685" s="65"/>
      <c r="D685" s="65"/>
      <c r="E685" s="65"/>
      <c r="F685" s="65"/>
      <c r="G685" s="65"/>
    </row>
    <row r="686" spans="1:7">
      <c r="A686" s="65"/>
      <c r="B686" s="65"/>
      <c r="C686" s="65"/>
      <c r="D686" s="65"/>
      <c r="E686" s="65"/>
      <c r="F686" s="65"/>
      <c r="G686" s="65"/>
    </row>
    <row r="687" spans="1:7">
      <c r="A687" s="65"/>
      <c r="B687" s="65"/>
      <c r="C687" s="65"/>
      <c r="D687" s="65"/>
      <c r="E687" s="65"/>
      <c r="F687" s="65"/>
      <c r="G687" s="65"/>
    </row>
    <row r="688" spans="1:7">
      <c r="A688" s="65"/>
      <c r="B688" s="65"/>
      <c r="C688" s="65"/>
      <c r="D688" s="65"/>
      <c r="E688" s="65"/>
      <c r="F688" s="65"/>
      <c r="G688" s="65"/>
    </row>
    <row r="689" spans="1:7">
      <c r="A689" s="65"/>
      <c r="B689" s="65"/>
      <c r="C689" s="65"/>
      <c r="D689" s="65"/>
      <c r="E689" s="65"/>
      <c r="F689" s="65"/>
      <c r="G689" s="65"/>
    </row>
    <row r="690" spans="1:7">
      <c r="A690" s="65"/>
      <c r="B690" s="65"/>
      <c r="C690" s="65"/>
      <c r="D690" s="65"/>
      <c r="E690" s="65"/>
      <c r="F690" s="65"/>
      <c r="G690" s="65"/>
    </row>
    <row r="691" spans="1:7">
      <c r="A691" s="65"/>
      <c r="B691" s="65"/>
      <c r="C691" s="65"/>
      <c r="D691" s="65"/>
      <c r="E691" s="65"/>
      <c r="F691" s="65"/>
      <c r="G691" s="65"/>
    </row>
    <row r="692" spans="1:7">
      <c r="A692" s="65"/>
      <c r="B692" s="65"/>
      <c r="C692" s="65"/>
      <c r="D692" s="65"/>
      <c r="E692" s="65"/>
      <c r="F692" s="65"/>
      <c r="G692" s="65"/>
    </row>
    <row r="693" spans="1:7">
      <c r="A693" s="65"/>
      <c r="B693" s="65"/>
      <c r="C693" s="65"/>
      <c r="D693" s="65"/>
      <c r="E693" s="65"/>
      <c r="F693" s="65"/>
      <c r="G693" s="65"/>
    </row>
    <row r="694" spans="1:7">
      <c r="A694" s="65"/>
      <c r="B694" s="65"/>
      <c r="C694" s="65"/>
      <c r="D694" s="65"/>
      <c r="E694" s="65"/>
      <c r="F694" s="65"/>
      <c r="G694" s="65"/>
    </row>
    <row r="695" spans="1:7">
      <c r="A695" s="65"/>
      <c r="B695" s="65"/>
      <c r="C695" s="65"/>
      <c r="D695" s="65"/>
      <c r="E695" s="65"/>
      <c r="F695" s="65"/>
      <c r="G695" s="65"/>
    </row>
    <row r="696" spans="1:7">
      <c r="A696" s="65"/>
      <c r="B696" s="65"/>
      <c r="C696" s="65"/>
      <c r="D696" s="65"/>
      <c r="E696" s="65"/>
      <c r="F696" s="65"/>
      <c r="G696" s="65"/>
    </row>
    <row r="697" spans="1:7">
      <c r="A697" s="65"/>
      <c r="B697" s="65"/>
      <c r="C697" s="65"/>
      <c r="D697" s="65"/>
      <c r="E697" s="65"/>
      <c r="F697" s="65"/>
      <c r="G697" s="65"/>
    </row>
    <row r="698" spans="1:7">
      <c r="A698" s="65"/>
      <c r="B698" s="65"/>
      <c r="C698" s="65"/>
      <c r="D698" s="65"/>
      <c r="E698" s="65"/>
      <c r="F698" s="65"/>
      <c r="G698" s="65"/>
    </row>
    <row r="699" spans="1:7">
      <c r="A699" s="65"/>
      <c r="B699" s="65"/>
      <c r="C699" s="65"/>
      <c r="D699" s="65"/>
      <c r="E699" s="65"/>
      <c r="F699" s="65"/>
      <c r="G699" s="65"/>
    </row>
    <row r="700" spans="1:7">
      <c r="A700" s="65"/>
      <c r="B700" s="65"/>
      <c r="C700" s="65"/>
      <c r="D700" s="65"/>
      <c r="E700" s="65"/>
      <c r="F700" s="65"/>
      <c r="G700" s="65"/>
    </row>
    <row r="701" spans="1:7">
      <c r="A701" s="65"/>
      <c r="B701" s="65"/>
      <c r="C701" s="65"/>
      <c r="D701" s="65"/>
      <c r="E701" s="65"/>
      <c r="F701" s="65"/>
      <c r="G701" s="65"/>
    </row>
    <row r="702" spans="1:7">
      <c r="A702" s="65"/>
      <c r="B702" s="65"/>
      <c r="C702" s="65"/>
      <c r="D702" s="65"/>
      <c r="E702" s="65"/>
      <c r="F702" s="65"/>
      <c r="G702" s="65"/>
    </row>
    <row r="703" spans="1:7">
      <c r="A703" s="65"/>
      <c r="B703" s="65"/>
      <c r="C703" s="65"/>
      <c r="D703" s="65"/>
      <c r="E703" s="65"/>
      <c r="F703" s="65"/>
      <c r="G703" s="65"/>
    </row>
    <row r="704" spans="1:7">
      <c r="A704" s="65"/>
      <c r="B704" s="65"/>
      <c r="C704" s="65"/>
      <c r="D704" s="65"/>
      <c r="E704" s="65"/>
      <c r="F704" s="65"/>
      <c r="G704" s="65"/>
    </row>
    <row r="705" spans="1:7">
      <c r="A705" s="65"/>
      <c r="B705" s="65"/>
      <c r="C705" s="65"/>
      <c r="D705" s="65"/>
      <c r="E705" s="65"/>
      <c r="F705" s="65"/>
      <c r="G705" s="65"/>
    </row>
    <row r="706" spans="1:7">
      <c r="A706" s="65"/>
      <c r="B706" s="65"/>
      <c r="C706" s="65"/>
      <c r="D706" s="65"/>
      <c r="E706" s="65"/>
      <c r="F706" s="65"/>
      <c r="G706" s="65"/>
    </row>
    <row r="707" spans="1:7">
      <c r="A707" s="65"/>
      <c r="B707" s="65"/>
      <c r="C707" s="65"/>
      <c r="D707" s="65"/>
      <c r="E707" s="65"/>
      <c r="F707" s="65"/>
      <c r="G707" s="65"/>
    </row>
    <row r="708" spans="1:7">
      <c r="A708" s="65"/>
      <c r="B708" s="65"/>
      <c r="C708" s="65"/>
      <c r="D708" s="65"/>
      <c r="E708" s="65"/>
      <c r="F708" s="65"/>
      <c r="G708" s="65"/>
    </row>
    <row r="709" spans="1:7">
      <c r="A709" s="65"/>
      <c r="B709" s="65"/>
      <c r="C709" s="65"/>
      <c r="D709" s="65"/>
      <c r="E709" s="65"/>
      <c r="F709" s="65"/>
      <c r="G709" s="65"/>
    </row>
    <row r="710" spans="1:7">
      <c r="A710" s="65"/>
      <c r="B710" s="65"/>
      <c r="C710" s="65"/>
      <c r="D710" s="65"/>
      <c r="E710" s="65"/>
      <c r="F710" s="65"/>
      <c r="G710" s="65"/>
    </row>
    <row r="711" spans="1:7">
      <c r="A711" s="65"/>
      <c r="B711" s="65"/>
      <c r="C711" s="65"/>
      <c r="D711" s="65"/>
      <c r="E711" s="65"/>
      <c r="F711" s="65"/>
      <c r="G711" s="65"/>
    </row>
    <row r="712" spans="1:7">
      <c r="A712" s="65"/>
      <c r="B712" s="65"/>
      <c r="C712" s="65"/>
      <c r="D712" s="65"/>
      <c r="E712" s="65"/>
      <c r="F712" s="65"/>
      <c r="G712" s="65"/>
    </row>
    <row r="713" spans="1:7">
      <c r="A713" s="65"/>
      <c r="B713" s="65"/>
      <c r="C713" s="65"/>
      <c r="D713" s="65"/>
      <c r="E713" s="65"/>
      <c r="F713" s="65"/>
      <c r="G713" s="65"/>
    </row>
    <row r="714" spans="1:7">
      <c r="A714" s="65"/>
      <c r="B714" s="65"/>
      <c r="C714" s="65"/>
      <c r="D714" s="65"/>
      <c r="E714" s="65"/>
      <c r="F714" s="65"/>
      <c r="G714" s="65"/>
    </row>
    <row r="715" spans="1:7">
      <c r="A715" s="65"/>
      <c r="B715" s="65"/>
      <c r="C715" s="65"/>
      <c r="D715" s="65"/>
      <c r="E715" s="65"/>
      <c r="F715" s="65"/>
      <c r="G715" s="65"/>
    </row>
    <row r="716" spans="1:7">
      <c r="A716" s="65"/>
      <c r="B716" s="65"/>
      <c r="C716" s="65"/>
      <c r="D716" s="65"/>
      <c r="E716" s="65"/>
      <c r="F716" s="65"/>
      <c r="G716" s="65"/>
    </row>
    <row r="717" spans="1:7">
      <c r="A717" s="65"/>
      <c r="B717" s="65"/>
      <c r="C717" s="65"/>
      <c r="D717" s="65"/>
      <c r="E717" s="65"/>
      <c r="F717" s="65"/>
      <c r="G717" s="65"/>
    </row>
    <row r="718" spans="1:7">
      <c r="A718" s="65"/>
      <c r="B718" s="65"/>
      <c r="C718" s="65"/>
      <c r="D718" s="65"/>
      <c r="E718" s="65"/>
      <c r="F718" s="65"/>
      <c r="G718" s="65"/>
    </row>
    <row r="719" spans="1:7">
      <c r="A719" s="65"/>
      <c r="B719" s="65"/>
      <c r="C719" s="65"/>
      <c r="D719" s="65"/>
      <c r="E719" s="65"/>
      <c r="F719" s="65"/>
      <c r="G719" s="65"/>
    </row>
    <row r="720" spans="1:7">
      <c r="A720" s="65"/>
      <c r="B720" s="65"/>
      <c r="C720" s="65"/>
      <c r="D720" s="65"/>
      <c r="E720" s="65"/>
      <c r="F720" s="65"/>
      <c r="G720" s="65"/>
    </row>
    <row r="721" spans="1:7">
      <c r="A721" s="65"/>
      <c r="B721" s="65"/>
      <c r="C721" s="65"/>
      <c r="D721" s="65"/>
      <c r="E721" s="65"/>
      <c r="F721" s="65"/>
      <c r="G721" s="65"/>
    </row>
    <row r="722" spans="1:7">
      <c r="A722" s="65"/>
      <c r="B722" s="65"/>
      <c r="C722" s="65"/>
      <c r="D722" s="65"/>
      <c r="E722" s="65"/>
      <c r="F722" s="65"/>
      <c r="G722" s="65"/>
    </row>
    <row r="723" spans="1:7">
      <c r="A723" s="65"/>
      <c r="B723" s="65"/>
      <c r="C723" s="65"/>
      <c r="D723" s="65"/>
      <c r="E723" s="65"/>
      <c r="F723" s="65"/>
      <c r="G723" s="65"/>
    </row>
    <row r="724" spans="1:7">
      <c r="A724" s="65"/>
      <c r="B724" s="65"/>
      <c r="C724" s="65"/>
      <c r="D724" s="65"/>
      <c r="E724" s="65"/>
      <c r="F724" s="65"/>
      <c r="G724" s="65"/>
    </row>
    <row r="725" spans="1:7">
      <c r="A725" s="65"/>
      <c r="B725" s="65"/>
      <c r="C725" s="65"/>
      <c r="D725" s="65"/>
      <c r="E725" s="65"/>
      <c r="F725" s="65"/>
      <c r="G725" s="65"/>
    </row>
    <row r="726" spans="1:7">
      <c r="A726" s="65"/>
      <c r="B726" s="65"/>
      <c r="C726" s="65"/>
      <c r="D726" s="65"/>
      <c r="E726" s="65"/>
      <c r="F726" s="65"/>
      <c r="G726" s="65"/>
    </row>
    <row r="727" spans="1:7">
      <c r="A727" s="65"/>
      <c r="B727" s="65"/>
      <c r="C727" s="65"/>
      <c r="D727" s="65"/>
      <c r="E727" s="65"/>
      <c r="F727" s="65"/>
      <c r="G727" s="65"/>
    </row>
    <row r="728" spans="1:7">
      <c r="A728" s="65"/>
      <c r="B728" s="65"/>
      <c r="C728" s="65"/>
      <c r="D728" s="65"/>
      <c r="E728" s="65"/>
      <c r="F728" s="65"/>
      <c r="G728" s="65"/>
    </row>
    <row r="729" spans="1:7">
      <c r="A729" s="65"/>
      <c r="B729" s="65"/>
      <c r="C729" s="65"/>
      <c r="D729" s="65"/>
      <c r="E729" s="65"/>
      <c r="F729" s="65"/>
      <c r="G729" s="65"/>
    </row>
    <row r="730" spans="1:7">
      <c r="A730" s="65"/>
      <c r="B730" s="65"/>
      <c r="C730" s="65"/>
      <c r="D730" s="65"/>
      <c r="E730" s="65"/>
      <c r="F730" s="65"/>
      <c r="G730" s="65"/>
    </row>
    <row r="731" spans="1:7">
      <c r="A731" s="65"/>
      <c r="B731" s="65"/>
      <c r="C731" s="65"/>
      <c r="D731" s="65"/>
      <c r="E731" s="65"/>
      <c r="F731" s="65"/>
      <c r="G731" s="65"/>
    </row>
    <row r="732" spans="1:7">
      <c r="A732" s="65"/>
      <c r="B732" s="65"/>
      <c r="C732" s="65"/>
      <c r="D732" s="65"/>
      <c r="E732" s="65"/>
      <c r="F732" s="65"/>
      <c r="G732" s="65"/>
    </row>
    <row r="733" spans="1:7">
      <c r="A733" s="65"/>
      <c r="B733" s="65"/>
      <c r="C733" s="65"/>
      <c r="D733" s="65"/>
      <c r="E733" s="65"/>
      <c r="F733" s="65"/>
      <c r="G733" s="65"/>
    </row>
    <row r="734" spans="1:7">
      <c r="A734" s="65"/>
      <c r="B734" s="65"/>
      <c r="C734" s="65"/>
      <c r="D734" s="65"/>
      <c r="E734" s="65"/>
      <c r="F734" s="65"/>
      <c r="G734" s="65"/>
    </row>
    <row r="735" spans="1:7">
      <c r="A735" s="65"/>
      <c r="B735" s="65"/>
      <c r="C735" s="65"/>
      <c r="D735" s="65"/>
      <c r="E735" s="65"/>
      <c r="F735" s="65"/>
      <c r="G735" s="65"/>
    </row>
    <row r="736" spans="1:7">
      <c r="A736" s="65"/>
      <c r="B736" s="65"/>
      <c r="C736" s="65"/>
      <c r="D736" s="65"/>
      <c r="E736" s="65"/>
      <c r="F736" s="65"/>
      <c r="G736" s="65"/>
    </row>
    <row r="737" spans="1:7">
      <c r="A737" s="65"/>
      <c r="B737" s="65"/>
      <c r="C737" s="65"/>
      <c r="D737" s="65"/>
      <c r="E737" s="65"/>
      <c r="F737" s="65"/>
      <c r="G737" s="65"/>
    </row>
    <row r="738" spans="1:7">
      <c r="A738" s="65"/>
      <c r="B738" s="65"/>
      <c r="C738" s="65"/>
      <c r="D738" s="65"/>
      <c r="E738" s="65"/>
      <c r="F738" s="65"/>
      <c r="G738" s="65"/>
    </row>
    <row r="739" spans="1:7">
      <c r="A739" s="65"/>
      <c r="B739" s="65"/>
      <c r="C739" s="65"/>
      <c r="D739" s="65"/>
      <c r="E739" s="65"/>
      <c r="F739" s="65"/>
      <c r="G739" s="65"/>
    </row>
    <row r="740" spans="1:7">
      <c r="A740" s="65"/>
      <c r="B740" s="65"/>
      <c r="C740" s="65"/>
      <c r="D740" s="65"/>
      <c r="E740" s="65"/>
      <c r="F740" s="65"/>
      <c r="G740" s="65"/>
    </row>
    <row r="741" spans="1:7">
      <c r="A741" s="65"/>
      <c r="B741" s="65"/>
      <c r="C741" s="65"/>
      <c r="D741" s="65"/>
      <c r="E741" s="65"/>
      <c r="F741" s="65"/>
      <c r="G741" s="65"/>
    </row>
    <row r="742" spans="1:7">
      <c r="A742" s="65"/>
      <c r="B742" s="65"/>
      <c r="C742" s="65"/>
      <c r="D742" s="65"/>
      <c r="E742" s="65"/>
      <c r="F742" s="65"/>
      <c r="G742" s="65"/>
    </row>
    <row r="743" spans="1:7">
      <c r="A743" s="65"/>
      <c r="B743" s="65"/>
      <c r="C743" s="65"/>
      <c r="D743" s="65"/>
      <c r="E743" s="65"/>
      <c r="F743" s="65"/>
      <c r="G743" s="65"/>
    </row>
    <row r="744" spans="1:7">
      <c r="A744" s="65"/>
      <c r="B744" s="65"/>
      <c r="C744" s="65"/>
      <c r="D744" s="65"/>
      <c r="E744" s="65"/>
      <c r="F744" s="65"/>
      <c r="G744" s="65"/>
    </row>
    <row r="745" spans="1:7">
      <c r="A745" s="65"/>
      <c r="B745" s="65"/>
      <c r="C745" s="65"/>
      <c r="D745" s="65"/>
      <c r="E745" s="65"/>
      <c r="F745" s="65"/>
      <c r="G745" s="65"/>
    </row>
    <row r="746" spans="1:7">
      <c r="A746" s="65"/>
      <c r="B746" s="65"/>
      <c r="C746" s="65"/>
      <c r="D746" s="65"/>
      <c r="E746" s="65"/>
      <c r="F746" s="65"/>
      <c r="G746" s="65"/>
    </row>
    <row r="747" spans="1:7">
      <c r="A747" s="65"/>
      <c r="B747" s="65"/>
      <c r="C747" s="65"/>
      <c r="D747" s="65"/>
      <c r="E747" s="65"/>
      <c r="F747" s="65"/>
      <c r="G747" s="65"/>
    </row>
    <row r="748" spans="1:7">
      <c r="A748" s="65"/>
      <c r="B748" s="65"/>
      <c r="C748" s="65"/>
      <c r="D748" s="65"/>
      <c r="E748" s="65"/>
      <c r="F748" s="65"/>
      <c r="G748" s="65"/>
    </row>
    <row r="749" spans="1:7">
      <c r="A749" s="65"/>
      <c r="B749" s="65"/>
      <c r="C749" s="65"/>
      <c r="D749" s="65"/>
      <c r="E749" s="65"/>
      <c r="F749" s="65"/>
      <c r="G749" s="65"/>
    </row>
    <row r="750" spans="1:7">
      <c r="A750" s="65"/>
      <c r="B750" s="65"/>
      <c r="C750" s="65"/>
      <c r="D750" s="65"/>
      <c r="E750" s="65"/>
      <c r="F750" s="65"/>
      <c r="G750" s="65"/>
    </row>
    <row r="751" spans="1:7">
      <c r="A751" s="65"/>
      <c r="B751" s="65"/>
      <c r="C751" s="65"/>
      <c r="D751" s="65"/>
      <c r="E751" s="65"/>
      <c r="F751" s="65"/>
      <c r="G751" s="65"/>
    </row>
    <row r="752" spans="1:7">
      <c r="A752" s="65"/>
      <c r="B752" s="65"/>
      <c r="C752" s="65"/>
      <c r="D752" s="65"/>
      <c r="E752" s="65"/>
      <c r="F752" s="65"/>
      <c r="G752" s="65"/>
    </row>
    <row r="753" spans="1:7">
      <c r="A753" s="65"/>
      <c r="B753" s="65"/>
      <c r="C753" s="65"/>
      <c r="D753" s="65"/>
      <c r="E753" s="65"/>
      <c r="F753" s="65"/>
      <c r="G753" s="65"/>
    </row>
    <row r="754" spans="1:7">
      <c r="A754" s="65"/>
      <c r="B754" s="65"/>
      <c r="C754" s="65"/>
      <c r="D754" s="65"/>
      <c r="E754" s="65"/>
      <c r="F754" s="65"/>
      <c r="G754" s="65"/>
    </row>
    <row r="755" spans="1:7">
      <c r="A755" s="65"/>
      <c r="B755" s="65"/>
      <c r="C755" s="65"/>
      <c r="D755" s="65"/>
      <c r="E755" s="65"/>
      <c r="F755" s="65"/>
      <c r="G755" s="65"/>
    </row>
    <row r="756" spans="1:7">
      <c r="A756" s="65"/>
      <c r="B756" s="65"/>
      <c r="C756" s="65"/>
      <c r="D756" s="65"/>
      <c r="E756" s="65"/>
      <c r="F756" s="65"/>
      <c r="G756" s="65"/>
    </row>
    <row r="757" spans="1:7">
      <c r="A757" s="65"/>
      <c r="B757" s="65"/>
      <c r="C757" s="65"/>
      <c r="D757" s="65"/>
      <c r="E757" s="65"/>
      <c r="F757" s="65"/>
      <c r="G757" s="65"/>
    </row>
    <row r="758" spans="1:7">
      <c r="A758" s="65"/>
      <c r="B758" s="65"/>
      <c r="C758" s="65"/>
      <c r="D758" s="65"/>
      <c r="E758" s="65"/>
      <c r="F758" s="65"/>
      <c r="G758" s="65"/>
    </row>
    <row r="759" spans="1:7">
      <c r="A759" s="65"/>
      <c r="B759" s="65"/>
      <c r="C759" s="65"/>
      <c r="D759" s="65"/>
      <c r="E759" s="65"/>
      <c r="F759" s="65"/>
      <c r="G759" s="65"/>
    </row>
    <row r="760" spans="1:7">
      <c r="A760" s="65"/>
      <c r="B760" s="65"/>
      <c r="C760" s="65"/>
      <c r="D760" s="65"/>
      <c r="E760" s="65"/>
      <c r="F760" s="65"/>
      <c r="G760" s="65"/>
    </row>
    <row r="761" spans="1:7">
      <c r="A761" s="65"/>
      <c r="B761" s="65"/>
      <c r="C761" s="65"/>
      <c r="D761" s="65"/>
      <c r="E761" s="65"/>
      <c r="F761" s="65"/>
      <c r="G761" s="65"/>
    </row>
    <row r="762" spans="1:7">
      <c r="A762" s="65"/>
      <c r="B762" s="65"/>
      <c r="C762" s="65"/>
      <c r="D762" s="65"/>
      <c r="E762" s="65"/>
      <c r="F762" s="65"/>
      <c r="G762" s="65"/>
    </row>
    <row r="763" spans="1:7">
      <c r="A763" s="65"/>
      <c r="B763" s="65"/>
      <c r="C763" s="65"/>
      <c r="D763" s="65"/>
      <c r="E763" s="65"/>
      <c r="F763" s="65"/>
      <c r="G763" s="65"/>
    </row>
    <row r="764" spans="1:7">
      <c r="A764" s="65"/>
      <c r="B764" s="65"/>
      <c r="C764" s="65"/>
      <c r="D764" s="65"/>
      <c r="E764" s="65"/>
      <c r="F764" s="65"/>
      <c r="G764" s="65"/>
    </row>
    <row r="765" spans="1:7">
      <c r="A765" s="65"/>
      <c r="B765" s="65"/>
      <c r="C765" s="65"/>
      <c r="D765" s="65"/>
      <c r="E765" s="65"/>
      <c r="F765" s="65"/>
      <c r="G765" s="65"/>
    </row>
    <row r="766" spans="1:7">
      <c r="A766" s="65"/>
      <c r="B766" s="65"/>
      <c r="C766" s="65"/>
      <c r="D766" s="65"/>
      <c r="E766" s="65"/>
      <c r="F766" s="65"/>
      <c r="G766" s="65"/>
    </row>
    <row r="767" spans="1:7">
      <c r="A767" s="65"/>
      <c r="B767" s="65"/>
      <c r="C767" s="65"/>
      <c r="D767" s="65"/>
      <c r="E767" s="65"/>
      <c r="F767" s="65"/>
      <c r="G767" s="65"/>
    </row>
    <row r="768" spans="1:7">
      <c r="A768" s="65"/>
      <c r="B768" s="65"/>
      <c r="C768" s="65"/>
      <c r="D768" s="65"/>
      <c r="E768" s="65"/>
      <c r="F768" s="65"/>
      <c r="G768" s="65"/>
    </row>
    <row r="769" spans="1:7">
      <c r="A769" s="65"/>
      <c r="B769" s="65"/>
      <c r="C769" s="65"/>
      <c r="D769" s="65"/>
      <c r="E769" s="65"/>
      <c r="F769" s="65"/>
      <c r="G769" s="65"/>
    </row>
    <row r="770" spans="1:7">
      <c r="A770" s="65"/>
      <c r="B770" s="65"/>
      <c r="C770" s="65"/>
      <c r="D770" s="65"/>
      <c r="E770" s="65"/>
      <c r="F770" s="65"/>
      <c r="G770" s="65"/>
    </row>
    <row r="771" spans="1:7">
      <c r="A771" s="65"/>
      <c r="B771" s="65"/>
      <c r="C771" s="65"/>
      <c r="D771" s="65"/>
      <c r="E771" s="65"/>
      <c r="F771" s="65"/>
      <c r="G771" s="65"/>
    </row>
    <row r="772" spans="1:7">
      <c r="A772" s="65"/>
      <c r="B772" s="65"/>
      <c r="C772" s="65"/>
      <c r="D772" s="65"/>
      <c r="E772" s="65"/>
      <c r="F772" s="65"/>
      <c r="G772" s="65"/>
    </row>
    <row r="773" spans="1:7">
      <c r="A773" s="65"/>
      <c r="B773" s="65"/>
      <c r="C773" s="65"/>
      <c r="D773" s="65"/>
      <c r="E773" s="65"/>
      <c r="F773" s="65"/>
      <c r="G773" s="65"/>
    </row>
    <row r="774" spans="1:7">
      <c r="A774" s="65"/>
      <c r="B774" s="65"/>
      <c r="C774" s="65"/>
      <c r="D774" s="65"/>
      <c r="E774" s="65"/>
      <c r="F774" s="65"/>
      <c r="G774" s="65"/>
    </row>
    <row r="775" spans="1:7">
      <c r="A775" s="65"/>
      <c r="B775" s="65"/>
      <c r="C775" s="65"/>
      <c r="D775" s="65"/>
      <c r="E775" s="65"/>
      <c r="F775" s="65"/>
      <c r="G775" s="65"/>
    </row>
    <row r="776" spans="1:7">
      <c r="A776" s="65"/>
      <c r="B776" s="65"/>
      <c r="C776" s="65"/>
      <c r="D776" s="65"/>
      <c r="E776" s="65"/>
      <c r="F776" s="65"/>
      <c r="G776" s="65"/>
    </row>
    <row r="777" spans="1:7">
      <c r="A777" s="65"/>
      <c r="B777" s="65"/>
      <c r="C777" s="65"/>
      <c r="D777" s="65"/>
      <c r="E777" s="65"/>
      <c r="F777" s="65"/>
      <c r="G777" s="65"/>
    </row>
    <row r="778" spans="1:7">
      <c r="A778" s="65"/>
      <c r="B778" s="65"/>
      <c r="C778" s="65"/>
      <c r="D778" s="65"/>
      <c r="E778" s="65"/>
      <c r="F778" s="65"/>
      <c r="G778" s="65"/>
    </row>
    <row r="779" spans="1:7">
      <c r="A779" s="65"/>
      <c r="B779" s="65"/>
      <c r="C779" s="65"/>
      <c r="D779" s="65"/>
      <c r="E779" s="65"/>
      <c r="F779" s="65"/>
      <c r="G779" s="65"/>
    </row>
    <row r="780" spans="1:7">
      <c r="A780" s="65"/>
      <c r="B780" s="65"/>
      <c r="C780" s="65"/>
      <c r="D780" s="65"/>
      <c r="E780" s="65"/>
      <c r="F780" s="65"/>
      <c r="G780" s="65"/>
    </row>
    <row r="781" spans="1:7">
      <c r="A781" s="65"/>
      <c r="B781" s="65"/>
      <c r="C781" s="65"/>
      <c r="D781" s="65"/>
      <c r="E781" s="65"/>
      <c r="F781" s="65"/>
      <c r="G781" s="65"/>
    </row>
    <row r="782" spans="1:7">
      <c r="A782" s="65"/>
      <c r="B782" s="65"/>
      <c r="C782" s="65"/>
      <c r="D782" s="65"/>
      <c r="E782" s="65"/>
      <c r="F782" s="65"/>
      <c r="G782" s="65"/>
    </row>
    <row r="783" spans="1:7">
      <c r="A783" s="65"/>
      <c r="B783" s="65"/>
      <c r="C783" s="65"/>
      <c r="D783" s="65"/>
      <c r="E783" s="65"/>
      <c r="F783" s="65"/>
      <c r="G783" s="65"/>
    </row>
    <row r="784" spans="1:7">
      <c r="A784" s="65"/>
      <c r="B784" s="65"/>
      <c r="C784" s="65"/>
      <c r="D784" s="65"/>
      <c r="E784" s="65"/>
      <c r="F784" s="65"/>
      <c r="G784" s="65"/>
    </row>
    <row r="785" spans="1:7">
      <c r="A785" s="65"/>
      <c r="B785" s="65"/>
      <c r="C785" s="65"/>
      <c r="D785" s="65"/>
      <c r="E785" s="65"/>
      <c r="F785" s="65"/>
      <c r="G785" s="65"/>
    </row>
    <row r="786" spans="1:7">
      <c r="A786" s="65"/>
      <c r="B786" s="65"/>
      <c r="C786" s="65"/>
      <c r="D786" s="65"/>
      <c r="E786" s="65"/>
      <c r="F786" s="65"/>
      <c r="G786" s="65"/>
    </row>
    <row r="787" spans="1:7">
      <c r="A787" s="65"/>
      <c r="B787" s="65"/>
      <c r="C787" s="65"/>
      <c r="D787" s="65"/>
      <c r="E787" s="65"/>
      <c r="F787" s="65"/>
      <c r="G787" s="65"/>
    </row>
    <row r="788" spans="1:7">
      <c r="A788" s="65"/>
      <c r="B788" s="65"/>
      <c r="C788" s="65"/>
      <c r="D788" s="65"/>
      <c r="E788" s="65"/>
      <c r="F788" s="65"/>
      <c r="G788" s="65"/>
    </row>
    <row r="789" spans="1:7">
      <c r="A789" s="65"/>
      <c r="B789" s="65"/>
      <c r="C789" s="65"/>
      <c r="D789" s="65"/>
      <c r="E789" s="65"/>
      <c r="F789" s="65"/>
      <c r="G789" s="65"/>
    </row>
    <row r="790" spans="1:7">
      <c r="A790" s="65"/>
      <c r="B790" s="65"/>
      <c r="C790" s="65"/>
      <c r="D790" s="65"/>
      <c r="E790" s="65"/>
      <c r="F790" s="65"/>
      <c r="G790" s="65"/>
    </row>
    <row r="791" spans="1:7">
      <c r="A791" s="65"/>
      <c r="B791" s="65"/>
      <c r="C791" s="65"/>
      <c r="D791" s="65"/>
      <c r="E791" s="65"/>
      <c r="F791" s="65"/>
      <c r="G791" s="65"/>
    </row>
    <row r="792" spans="1:7">
      <c r="A792" s="65"/>
      <c r="B792" s="65"/>
      <c r="C792" s="65"/>
      <c r="D792" s="65"/>
      <c r="E792" s="65"/>
      <c r="F792" s="65"/>
      <c r="G792" s="65"/>
    </row>
    <row r="793" spans="1:7">
      <c r="A793" s="65"/>
      <c r="B793" s="65"/>
      <c r="C793" s="65"/>
      <c r="D793" s="65"/>
      <c r="E793" s="65"/>
      <c r="F793" s="65"/>
      <c r="G793" s="65"/>
    </row>
    <row r="794" spans="1:7">
      <c r="A794" s="65"/>
      <c r="B794" s="65"/>
      <c r="C794" s="65"/>
      <c r="D794" s="65"/>
      <c r="E794" s="65"/>
      <c r="F794" s="65"/>
      <c r="G794" s="65"/>
    </row>
    <row r="795" spans="1:7">
      <c r="A795" s="65"/>
      <c r="B795" s="65"/>
      <c r="C795" s="65"/>
      <c r="D795" s="65"/>
      <c r="E795" s="65"/>
      <c r="F795" s="65"/>
      <c r="G795" s="65"/>
    </row>
    <row r="796" spans="1:7">
      <c r="A796" s="65"/>
      <c r="B796" s="65"/>
      <c r="C796" s="65"/>
      <c r="D796" s="65"/>
      <c r="E796" s="65"/>
      <c r="F796" s="65"/>
      <c r="G796" s="65"/>
    </row>
    <row r="797" spans="1:7">
      <c r="A797" s="65"/>
      <c r="B797" s="65"/>
      <c r="C797" s="65"/>
      <c r="D797" s="65"/>
      <c r="E797" s="65"/>
      <c r="F797" s="65"/>
      <c r="G797" s="65"/>
    </row>
    <row r="798" spans="1:7">
      <c r="A798" s="65"/>
      <c r="B798" s="65"/>
      <c r="C798" s="65"/>
      <c r="D798" s="65"/>
      <c r="E798" s="65"/>
      <c r="F798" s="65"/>
      <c r="G798" s="65"/>
    </row>
    <row r="799" spans="1:7">
      <c r="A799" s="65"/>
      <c r="B799" s="65"/>
      <c r="C799" s="65"/>
      <c r="D799" s="65"/>
      <c r="E799" s="65"/>
      <c r="F799" s="65"/>
      <c r="G799" s="65"/>
    </row>
    <row r="800" spans="1:7">
      <c r="A800" s="65"/>
      <c r="B800" s="65"/>
      <c r="C800" s="65"/>
      <c r="D800" s="65"/>
      <c r="E800" s="65"/>
      <c r="F800" s="65"/>
      <c r="G800" s="65"/>
    </row>
    <row r="801" spans="1:7">
      <c r="A801" s="65"/>
      <c r="B801" s="65"/>
      <c r="C801" s="65"/>
      <c r="D801" s="65"/>
      <c r="E801" s="65"/>
      <c r="F801" s="65"/>
      <c r="G801" s="65"/>
    </row>
    <row r="802" spans="1:7">
      <c r="A802" s="65"/>
      <c r="B802" s="65"/>
      <c r="C802" s="65"/>
      <c r="D802" s="65"/>
      <c r="E802" s="65"/>
      <c r="F802" s="65"/>
      <c r="G802" s="65"/>
    </row>
    <row r="803" spans="1:7">
      <c r="A803" s="65"/>
      <c r="B803" s="65"/>
      <c r="C803" s="65"/>
      <c r="D803" s="65"/>
      <c r="E803" s="65"/>
      <c r="F803" s="65"/>
      <c r="G803" s="65"/>
    </row>
    <row r="804" spans="1:7">
      <c r="A804" s="65"/>
      <c r="B804" s="65"/>
      <c r="C804" s="65"/>
      <c r="D804" s="65"/>
      <c r="E804" s="65"/>
      <c r="F804" s="65"/>
      <c r="G804" s="65"/>
    </row>
    <row r="805" spans="1:7">
      <c r="A805" s="65"/>
      <c r="B805" s="65"/>
      <c r="C805" s="65"/>
      <c r="D805" s="65"/>
      <c r="E805" s="65"/>
      <c r="F805" s="65"/>
      <c r="G805" s="65"/>
    </row>
    <row r="806" spans="1:7">
      <c r="A806" s="65"/>
      <c r="B806" s="65"/>
      <c r="C806" s="65"/>
      <c r="D806" s="65"/>
      <c r="E806" s="65"/>
      <c r="F806" s="65"/>
      <c r="G806" s="65"/>
    </row>
    <row r="807" spans="1:7">
      <c r="A807" s="65"/>
      <c r="B807" s="65"/>
      <c r="C807" s="65"/>
      <c r="D807" s="65"/>
      <c r="E807" s="65"/>
      <c r="F807" s="65"/>
      <c r="G807" s="65"/>
    </row>
    <row r="808" spans="1:7">
      <c r="A808" s="65"/>
      <c r="B808" s="65"/>
      <c r="C808" s="65"/>
      <c r="D808" s="65"/>
      <c r="E808" s="65"/>
      <c r="F808" s="65"/>
      <c r="G808" s="65"/>
    </row>
    <row r="809" spans="1:7">
      <c r="A809" s="65"/>
      <c r="B809" s="65"/>
      <c r="C809" s="65"/>
      <c r="D809" s="65"/>
      <c r="E809" s="65"/>
      <c r="F809" s="65"/>
      <c r="G809" s="65"/>
    </row>
    <row r="810" spans="1:7">
      <c r="A810" s="65"/>
      <c r="B810" s="65"/>
      <c r="C810" s="65"/>
      <c r="D810" s="65"/>
      <c r="E810" s="65"/>
      <c r="F810" s="65"/>
      <c r="G810" s="65"/>
    </row>
    <row r="811" spans="1:7">
      <c r="A811" s="65"/>
      <c r="B811" s="65"/>
      <c r="C811" s="65"/>
      <c r="D811" s="65"/>
      <c r="E811" s="65"/>
      <c r="F811" s="65"/>
      <c r="G811" s="65"/>
    </row>
    <row r="812" spans="1:7">
      <c r="A812" s="65"/>
      <c r="B812" s="65"/>
      <c r="C812" s="65"/>
      <c r="D812" s="65"/>
      <c r="E812" s="65"/>
      <c r="F812" s="65"/>
      <c r="G812" s="65"/>
    </row>
    <row r="813" spans="1:7">
      <c r="A813" s="65"/>
      <c r="B813" s="65"/>
      <c r="C813" s="65"/>
      <c r="D813" s="65"/>
      <c r="E813" s="65"/>
      <c r="F813" s="65"/>
      <c r="G813" s="65"/>
    </row>
    <row r="814" spans="1:7">
      <c r="A814" s="65"/>
      <c r="B814" s="65"/>
      <c r="C814" s="65"/>
      <c r="D814" s="65"/>
      <c r="E814" s="65"/>
      <c r="F814" s="65"/>
      <c r="G814" s="65"/>
    </row>
    <row r="815" spans="1:7">
      <c r="A815" s="65"/>
      <c r="B815" s="65"/>
      <c r="C815" s="65"/>
      <c r="D815" s="65"/>
      <c r="E815" s="65"/>
      <c r="F815" s="65"/>
      <c r="G815" s="65"/>
    </row>
    <row r="816" spans="1:7">
      <c r="A816" s="65"/>
      <c r="B816" s="65"/>
      <c r="C816" s="65"/>
      <c r="D816" s="65"/>
      <c r="E816" s="65"/>
      <c r="F816" s="65"/>
      <c r="G816" s="65"/>
    </row>
    <row r="817" spans="1:7">
      <c r="A817" s="65"/>
      <c r="B817" s="65"/>
      <c r="C817" s="65"/>
      <c r="D817" s="65"/>
      <c r="E817" s="65"/>
      <c r="F817" s="65"/>
      <c r="G817" s="65"/>
    </row>
    <row r="818" spans="1:7">
      <c r="A818" s="65"/>
      <c r="B818" s="65"/>
      <c r="C818" s="65"/>
      <c r="D818" s="65"/>
      <c r="E818" s="65"/>
      <c r="F818" s="65"/>
      <c r="G818" s="65"/>
    </row>
    <row r="819" spans="1:7">
      <c r="A819" s="65"/>
      <c r="B819" s="65"/>
      <c r="C819" s="65"/>
      <c r="D819" s="65"/>
      <c r="E819" s="65"/>
      <c r="F819" s="65"/>
      <c r="G819" s="65"/>
    </row>
    <row r="820" spans="1:7">
      <c r="A820" s="65"/>
      <c r="B820" s="65"/>
      <c r="C820" s="65"/>
      <c r="D820" s="65"/>
      <c r="E820" s="65"/>
      <c r="F820" s="65"/>
      <c r="G820" s="65"/>
    </row>
    <row r="821" spans="1:7">
      <c r="A821" s="65"/>
      <c r="B821" s="65"/>
      <c r="C821" s="65"/>
      <c r="D821" s="65"/>
      <c r="E821" s="65"/>
      <c r="F821" s="65"/>
      <c r="G821" s="65"/>
    </row>
    <row r="822" spans="1:7">
      <c r="A822" s="65"/>
      <c r="B822" s="65"/>
      <c r="C822" s="65"/>
      <c r="D822" s="65"/>
      <c r="E822" s="65"/>
      <c r="F822" s="65"/>
      <c r="G822" s="65"/>
    </row>
    <row r="823" spans="1:7">
      <c r="A823" s="65"/>
      <c r="B823" s="65"/>
      <c r="C823" s="65"/>
      <c r="D823" s="65"/>
      <c r="E823" s="65"/>
      <c r="F823" s="65"/>
      <c r="G823" s="65"/>
    </row>
    <row r="824" spans="1:7">
      <c r="A824" s="65"/>
      <c r="B824" s="65"/>
      <c r="C824" s="65"/>
      <c r="D824" s="65"/>
      <c r="E824" s="65"/>
      <c r="F824" s="65"/>
      <c r="G824" s="65"/>
    </row>
    <row r="825" spans="1:7">
      <c r="A825" s="65"/>
      <c r="B825" s="65"/>
      <c r="C825" s="65"/>
      <c r="D825" s="65"/>
      <c r="E825" s="65"/>
      <c r="F825" s="65"/>
      <c r="G825" s="65"/>
    </row>
    <row r="826" spans="1:7">
      <c r="A826" s="65"/>
      <c r="B826" s="65"/>
      <c r="C826" s="65"/>
      <c r="D826" s="65"/>
      <c r="E826" s="65"/>
      <c r="F826" s="65"/>
      <c r="G826" s="65"/>
    </row>
    <row r="827" spans="1:7">
      <c r="A827" s="65"/>
      <c r="B827" s="65"/>
      <c r="C827" s="65"/>
      <c r="D827" s="65"/>
      <c r="E827" s="65"/>
      <c r="F827" s="65"/>
      <c r="G827" s="65"/>
    </row>
    <row r="828" spans="1:7">
      <c r="A828" s="65"/>
      <c r="B828" s="65"/>
      <c r="C828" s="65"/>
      <c r="D828" s="65"/>
      <c r="E828" s="65"/>
      <c r="F828" s="65"/>
      <c r="G828" s="65"/>
    </row>
    <row r="829" spans="1:7">
      <c r="A829" s="65"/>
      <c r="B829" s="65"/>
      <c r="C829" s="65"/>
      <c r="D829" s="65"/>
      <c r="E829" s="65"/>
      <c r="F829" s="65"/>
      <c r="G829" s="65"/>
    </row>
    <row r="830" spans="1:7">
      <c r="A830" s="65"/>
      <c r="B830" s="65"/>
      <c r="C830" s="65"/>
      <c r="D830" s="65"/>
      <c r="E830" s="65"/>
      <c r="F830" s="65"/>
      <c r="G830" s="65"/>
    </row>
    <row r="831" spans="1:7">
      <c r="A831" s="65"/>
      <c r="B831" s="65"/>
      <c r="C831" s="65"/>
      <c r="D831" s="65"/>
      <c r="E831" s="65"/>
      <c r="F831" s="65"/>
      <c r="G831" s="65"/>
    </row>
    <row r="832" spans="1:7">
      <c r="A832" s="65"/>
      <c r="B832" s="65"/>
      <c r="C832" s="65"/>
      <c r="D832" s="65"/>
      <c r="E832" s="65"/>
      <c r="F832" s="65"/>
      <c r="G832" s="65"/>
    </row>
    <row r="833" spans="1:7">
      <c r="A833" s="65"/>
      <c r="B833" s="65"/>
      <c r="C833" s="65"/>
      <c r="D833" s="65"/>
      <c r="E833" s="65"/>
      <c r="F833" s="65"/>
      <c r="G833" s="65"/>
    </row>
    <row r="834" spans="1:7">
      <c r="A834" s="65"/>
      <c r="B834" s="65"/>
      <c r="C834" s="65"/>
      <c r="D834" s="65"/>
      <c r="E834" s="65"/>
      <c r="F834" s="65"/>
      <c r="G834" s="65"/>
    </row>
    <row r="835" spans="1:7">
      <c r="A835" s="65"/>
      <c r="B835" s="65"/>
      <c r="C835" s="65"/>
      <c r="D835" s="65"/>
      <c r="E835" s="65"/>
      <c r="F835" s="65"/>
      <c r="G835" s="65"/>
    </row>
    <row r="836" spans="1:7">
      <c r="A836" s="65"/>
      <c r="B836" s="65"/>
      <c r="C836" s="65"/>
      <c r="D836" s="65"/>
      <c r="E836" s="65"/>
      <c r="F836" s="65"/>
      <c r="G836" s="65"/>
    </row>
    <row r="837" spans="1:7">
      <c r="A837" s="65"/>
      <c r="B837" s="65"/>
      <c r="C837" s="65"/>
      <c r="D837" s="65"/>
      <c r="E837" s="65"/>
      <c r="F837" s="65"/>
      <c r="G837" s="65"/>
    </row>
    <row r="838" spans="1:7">
      <c r="A838" s="65"/>
      <c r="B838" s="65"/>
      <c r="C838" s="65"/>
      <c r="D838" s="65"/>
      <c r="E838" s="65"/>
      <c r="F838" s="65"/>
      <c r="G838" s="65"/>
    </row>
    <row r="839" spans="1:7">
      <c r="A839" s="65"/>
      <c r="B839" s="65"/>
      <c r="C839" s="65"/>
      <c r="D839" s="65"/>
      <c r="E839" s="65"/>
      <c r="F839" s="65"/>
      <c r="G839" s="65"/>
    </row>
    <row r="840" spans="1:7">
      <c r="A840" s="65"/>
      <c r="B840" s="65"/>
      <c r="C840" s="65"/>
      <c r="D840" s="65"/>
      <c r="E840" s="65"/>
      <c r="F840" s="65"/>
      <c r="G840" s="65"/>
    </row>
    <row r="841" spans="1:7">
      <c r="A841" s="65"/>
      <c r="B841" s="65"/>
      <c r="C841" s="65"/>
      <c r="D841" s="65"/>
      <c r="E841" s="65"/>
      <c r="F841" s="65"/>
      <c r="G841" s="65"/>
    </row>
    <row r="842" spans="1:7">
      <c r="A842" s="65"/>
      <c r="B842" s="65"/>
      <c r="C842" s="65"/>
      <c r="D842" s="65"/>
      <c r="E842" s="65"/>
      <c r="F842" s="65"/>
      <c r="G842" s="65"/>
    </row>
    <row r="843" spans="1:7">
      <c r="A843" s="65"/>
      <c r="B843" s="65"/>
      <c r="C843" s="65"/>
      <c r="D843" s="65"/>
      <c r="E843" s="65"/>
      <c r="F843" s="65"/>
      <c r="G843" s="65"/>
    </row>
    <row r="844" spans="1:7">
      <c r="A844" s="65"/>
      <c r="B844" s="65"/>
      <c r="C844" s="65"/>
      <c r="D844" s="65"/>
      <c r="E844" s="65"/>
      <c r="F844" s="65"/>
      <c r="G844" s="65"/>
    </row>
    <row r="845" spans="1:7">
      <c r="A845" s="65"/>
      <c r="B845" s="65"/>
      <c r="C845" s="65"/>
      <c r="D845" s="65"/>
      <c r="E845" s="65"/>
      <c r="F845" s="65"/>
      <c r="G845" s="65"/>
    </row>
    <row r="846" spans="1:7">
      <c r="A846" s="65"/>
      <c r="B846" s="65"/>
      <c r="C846" s="65"/>
      <c r="D846" s="65"/>
      <c r="E846" s="65"/>
      <c r="F846" s="65"/>
      <c r="G846" s="65"/>
    </row>
    <row r="847" spans="1:7">
      <c r="A847" s="65"/>
      <c r="B847" s="65"/>
      <c r="C847" s="65"/>
      <c r="D847" s="65"/>
      <c r="E847" s="65"/>
      <c r="F847" s="65"/>
      <c r="G847" s="65"/>
    </row>
    <row r="848" spans="1:7">
      <c r="A848" s="65"/>
      <c r="B848" s="65"/>
      <c r="C848" s="65"/>
      <c r="D848" s="65"/>
      <c r="E848" s="65"/>
      <c r="F848" s="65"/>
      <c r="G848" s="65"/>
    </row>
    <row r="849" spans="1:7">
      <c r="A849" s="65"/>
      <c r="B849" s="65"/>
      <c r="C849" s="65"/>
      <c r="D849" s="65"/>
      <c r="E849" s="65"/>
      <c r="F849" s="65"/>
      <c r="G849" s="65"/>
    </row>
    <row r="850" spans="1:7">
      <c r="A850" s="65"/>
      <c r="B850" s="65"/>
      <c r="C850" s="65"/>
      <c r="D850" s="65"/>
      <c r="E850" s="65"/>
      <c r="F850" s="65"/>
      <c r="G850" s="65"/>
    </row>
    <row r="851" spans="1:7">
      <c r="A851" s="65"/>
      <c r="B851" s="65"/>
      <c r="C851" s="65"/>
      <c r="D851" s="65"/>
      <c r="E851" s="65"/>
      <c r="F851" s="65"/>
      <c r="G851" s="65"/>
    </row>
    <row r="852" spans="1:7">
      <c r="A852" s="65"/>
      <c r="B852" s="65"/>
      <c r="C852" s="65"/>
      <c r="D852" s="65"/>
      <c r="E852" s="65"/>
      <c r="F852" s="65"/>
      <c r="G852" s="65"/>
    </row>
    <row r="853" spans="1:7">
      <c r="A853" s="65"/>
      <c r="B853" s="65"/>
      <c r="C853" s="65"/>
      <c r="D853" s="65"/>
      <c r="E853" s="65"/>
      <c r="F853" s="65"/>
      <c r="G853" s="65"/>
    </row>
    <row r="854" spans="1:7">
      <c r="A854" s="65"/>
      <c r="B854" s="65"/>
      <c r="C854" s="65"/>
      <c r="D854" s="65"/>
      <c r="E854" s="65"/>
      <c r="F854" s="65"/>
      <c r="G854" s="65"/>
    </row>
    <row r="855" spans="1:7">
      <c r="A855" s="65"/>
      <c r="B855" s="65"/>
      <c r="C855" s="65"/>
      <c r="D855" s="65"/>
      <c r="E855" s="65"/>
      <c r="F855" s="65"/>
      <c r="G855" s="65"/>
    </row>
    <row r="856" spans="1:7">
      <c r="A856" s="65"/>
      <c r="B856" s="65"/>
      <c r="C856" s="65"/>
      <c r="D856" s="65"/>
      <c r="E856" s="65"/>
      <c r="F856" s="65"/>
      <c r="G856" s="65"/>
    </row>
    <row r="857" spans="1:7">
      <c r="A857" s="65"/>
      <c r="B857" s="65"/>
      <c r="C857" s="65"/>
      <c r="D857" s="65"/>
      <c r="E857" s="65"/>
      <c r="F857" s="65"/>
      <c r="G857" s="65"/>
    </row>
    <row r="858" spans="1:7">
      <c r="A858" s="65"/>
      <c r="B858" s="65"/>
      <c r="C858" s="65"/>
      <c r="D858" s="65"/>
      <c r="E858" s="65"/>
      <c r="F858" s="65"/>
      <c r="G858" s="65"/>
    </row>
    <row r="859" spans="1:7">
      <c r="A859" s="65"/>
      <c r="B859" s="65"/>
      <c r="C859" s="65"/>
      <c r="D859" s="65"/>
      <c r="E859" s="65"/>
      <c r="F859" s="65"/>
      <c r="G859" s="65"/>
    </row>
    <row r="860" spans="1:7">
      <c r="A860" s="65"/>
      <c r="B860" s="65"/>
      <c r="C860" s="65"/>
      <c r="D860" s="65"/>
      <c r="E860" s="65"/>
      <c r="F860" s="65"/>
      <c r="G860" s="65"/>
    </row>
    <row r="861" spans="1:7">
      <c r="A861" s="65"/>
      <c r="B861" s="65"/>
      <c r="C861" s="65"/>
      <c r="D861" s="65"/>
      <c r="E861" s="65"/>
      <c r="F861" s="65"/>
      <c r="G861" s="65"/>
    </row>
    <row r="862" spans="1:7">
      <c r="A862" s="65"/>
      <c r="B862" s="65"/>
      <c r="C862" s="65"/>
      <c r="D862" s="65"/>
      <c r="E862" s="65"/>
      <c r="F862" s="65"/>
      <c r="G862" s="65"/>
    </row>
    <row r="863" spans="1:7">
      <c r="A863" s="65"/>
      <c r="B863" s="65"/>
      <c r="C863" s="65"/>
      <c r="D863" s="65"/>
      <c r="E863" s="65"/>
      <c r="F863" s="65"/>
      <c r="G863" s="65"/>
    </row>
    <row r="864" spans="1:7">
      <c r="A864" s="65"/>
      <c r="B864" s="65"/>
      <c r="C864" s="65"/>
      <c r="D864" s="65"/>
      <c r="E864" s="65"/>
      <c r="F864" s="65"/>
      <c r="G864" s="65"/>
    </row>
    <row r="865" spans="1:7">
      <c r="A865" s="65"/>
      <c r="B865" s="65"/>
      <c r="C865" s="65"/>
      <c r="D865" s="65"/>
      <c r="E865" s="65"/>
      <c r="F865" s="65"/>
      <c r="G865" s="65"/>
    </row>
    <row r="866" spans="1:7">
      <c r="A866" s="65"/>
      <c r="B866" s="65"/>
      <c r="C866" s="65"/>
      <c r="D866" s="65"/>
      <c r="E866" s="65"/>
      <c r="F866" s="65"/>
      <c r="G866" s="65"/>
    </row>
    <row r="867" spans="1:7">
      <c r="A867" s="65"/>
      <c r="B867" s="65"/>
      <c r="C867" s="65"/>
      <c r="D867" s="65"/>
      <c r="E867" s="65"/>
      <c r="F867" s="65"/>
      <c r="G867" s="65"/>
    </row>
    <row r="868" spans="1:7">
      <c r="A868" s="65"/>
      <c r="B868" s="65"/>
      <c r="C868" s="65"/>
      <c r="D868" s="65"/>
      <c r="E868" s="65"/>
      <c r="F868" s="65"/>
      <c r="G868" s="65"/>
    </row>
    <row r="869" spans="1:7">
      <c r="A869" s="65"/>
      <c r="B869" s="65"/>
      <c r="C869" s="65"/>
      <c r="D869" s="65"/>
      <c r="E869" s="65"/>
      <c r="F869" s="65"/>
      <c r="G869" s="65"/>
    </row>
    <row r="870" spans="1:7">
      <c r="A870" s="65"/>
      <c r="B870" s="65"/>
      <c r="C870" s="65"/>
      <c r="D870" s="65"/>
      <c r="E870" s="65"/>
      <c r="F870" s="65"/>
      <c r="G870" s="65"/>
    </row>
    <row r="871" spans="1:7">
      <c r="A871" s="65"/>
      <c r="B871" s="65"/>
      <c r="C871" s="65"/>
      <c r="D871" s="65"/>
      <c r="E871" s="65"/>
      <c r="F871" s="65"/>
      <c r="G871" s="65"/>
    </row>
    <row r="872" spans="1:7">
      <c r="A872" s="65"/>
      <c r="B872" s="65"/>
      <c r="C872" s="65"/>
      <c r="D872" s="65"/>
      <c r="E872" s="65"/>
      <c r="F872" s="65"/>
      <c r="G872" s="65"/>
    </row>
    <row r="873" spans="1:7">
      <c r="A873" s="65"/>
      <c r="B873" s="65"/>
      <c r="C873" s="65"/>
      <c r="D873" s="65"/>
      <c r="E873" s="65"/>
      <c r="F873" s="65"/>
      <c r="G873" s="65"/>
    </row>
    <row r="874" spans="1:7">
      <c r="A874" s="65"/>
      <c r="B874" s="65"/>
      <c r="C874" s="65"/>
      <c r="D874" s="65"/>
      <c r="E874" s="65"/>
      <c r="F874" s="65"/>
      <c r="G874" s="65"/>
    </row>
    <row r="875" spans="1:7">
      <c r="A875" s="65"/>
      <c r="B875" s="65"/>
      <c r="C875" s="65"/>
      <c r="D875" s="65"/>
      <c r="E875" s="65"/>
      <c r="F875" s="65"/>
      <c r="G875" s="65"/>
    </row>
    <row r="876" spans="1:7">
      <c r="A876" s="65"/>
      <c r="B876" s="65"/>
      <c r="C876" s="65"/>
      <c r="D876" s="65"/>
      <c r="E876" s="65"/>
      <c r="F876" s="65"/>
      <c r="G876" s="65"/>
    </row>
    <row r="877" spans="1:7">
      <c r="A877" s="65"/>
      <c r="B877" s="65"/>
      <c r="C877" s="65"/>
      <c r="D877" s="65"/>
      <c r="E877" s="65"/>
      <c r="F877" s="65"/>
      <c r="G877" s="65"/>
    </row>
    <row r="878" spans="1:7">
      <c r="A878" s="65"/>
      <c r="B878" s="65"/>
      <c r="C878" s="65"/>
      <c r="D878" s="65"/>
      <c r="E878" s="65"/>
      <c r="F878" s="65"/>
      <c r="G878" s="65"/>
    </row>
    <row r="879" spans="1:7">
      <c r="A879" s="65"/>
      <c r="B879" s="65"/>
      <c r="C879" s="65"/>
      <c r="D879" s="65"/>
      <c r="E879" s="65"/>
      <c r="F879" s="65"/>
      <c r="G879" s="65"/>
    </row>
    <row r="880" spans="1:7">
      <c r="A880" s="65"/>
      <c r="B880" s="65"/>
      <c r="C880" s="65"/>
      <c r="D880" s="65"/>
      <c r="E880" s="65"/>
      <c r="F880" s="65"/>
      <c r="G880" s="65"/>
    </row>
    <row r="881" spans="1:7">
      <c r="A881" s="65"/>
      <c r="B881" s="65"/>
      <c r="C881" s="65"/>
      <c r="D881" s="65"/>
      <c r="E881" s="65"/>
      <c r="F881" s="65"/>
      <c r="G881" s="65"/>
    </row>
    <row r="882" spans="1:7">
      <c r="A882" s="65"/>
      <c r="B882" s="65"/>
      <c r="C882" s="65"/>
      <c r="D882" s="65"/>
      <c r="E882" s="65"/>
      <c r="F882" s="65"/>
      <c r="G882" s="65"/>
    </row>
    <row r="883" spans="1:7">
      <c r="A883" s="65"/>
      <c r="B883" s="65"/>
      <c r="C883" s="65"/>
      <c r="D883" s="65"/>
      <c r="E883" s="65"/>
      <c r="F883" s="65"/>
      <c r="G883" s="65"/>
    </row>
    <row r="884" spans="1:7">
      <c r="A884" s="65"/>
      <c r="B884" s="65"/>
      <c r="C884" s="65"/>
      <c r="D884" s="65"/>
      <c r="E884" s="65"/>
      <c r="F884" s="65"/>
      <c r="G884" s="65"/>
    </row>
    <row r="885" spans="1:7">
      <c r="A885" s="65"/>
      <c r="B885" s="65"/>
      <c r="C885" s="65"/>
      <c r="D885" s="65"/>
      <c r="E885" s="65"/>
      <c r="F885" s="65"/>
      <c r="G885" s="65"/>
    </row>
    <row r="886" spans="1:7">
      <c r="A886" s="65"/>
      <c r="B886" s="65"/>
      <c r="C886" s="65"/>
      <c r="D886" s="65"/>
      <c r="E886" s="65"/>
      <c r="F886" s="65"/>
      <c r="G886" s="65"/>
    </row>
    <row r="887" spans="1:7">
      <c r="A887" s="65"/>
      <c r="B887" s="65"/>
      <c r="C887" s="65"/>
      <c r="D887" s="65"/>
      <c r="E887" s="65"/>
      <c r="F887" s="65"/>
      <c r="G887" s="65"/>
    </row>
    <row r="888" spans="1:7">
      <c r="A888" s="65"/>
      <c r="B888" s="65"/>
      <c r="C888" s="65"/>
      <c r="D888" s="65"/>
      <c r="E888" s="65"/>
      <c r="F888" s="65"/>
      <c r="G888" s="65"/>
    </row>
    <row r="889" spans="1:7">
      <c r="A889" s="65"/>
      <c r="B889" s="65"/>
      <c r="C889" s="65"/>
      <c r="D889" s="65"/>
      <c r="E889" s="65"/>
      <c r="F889" s="65"/>
      <c r="G889" s="65"/>
    </row>
    <row r="890" spans="1:7">
      <c r="A890" s="65"/>
      <c r="B890" s="65"/>
      <c r="C890" s="65"/>
      <c r="D890" s="65"/>
      <c r="E890" s="65"/>
      <c r="F890" s="65"/>
      <c r="G890" s="65"/>
    </row>
    <row r="891" spans="1:7">
      <c r="A891" s="65"/>
      <c r="B891" s="65"/>
      <c r="C891" s="65"/>
      <c r="D891" s="65"/>
      <c r="E891" s="65"/>
      <c r="F891" s="65"/>
      <c r="G891" s="65"/>
    </row>
    <row r="892" spans="1:7">
      <c r="A892" s="65"/>
      <c r="B892" s="65"/>
      <c r="C892" s="65"/>
      <c r="D892" s="65"/>
      <c r="E892" s="65"/>
      <c r="F892" s="65"/>
      <c r="G892" s="65"/>
    </row>
    <row r="893" spans="1:7">
      <c r="A893" s="65"/>
      <c r="B893" s="65"/>
      <c r="C893" s="65"/>
      <c r="D893" s="65"/>
      <c r="E893" s="65"/>
      <c r="F893" s="65"/>
      <c r="G893" s="65"/>
    </row>
    <row r="894" spans="1:7">
      <c r="A894" s="65"/>
      <c r="B894" s="65"/>
      <c r="C894" s="65"/>
      <c r="D894" s="65"/>
      <c r="E894" s="65"/>
      <c r="F894" s="65"/>
      <c r="G894" s="65"/>
    </row>
    <row r="895" spans="1:7">
      <c r="A895" s="65"/>
      <c r="B895" s="65"/>
      <c r="C895" s="65"/>
      <c r="D895" s="65"/>
      <c r="E895" s="65"/>
      <c r="F895" s="65"/>
      <c r="G895" s="65"/>
    </row>
    <row r="896" spans="1:7">
      <c r="A896" s="65"/>
      <c r="B896" s="65"/>
      <c r="C896" s="65"/>
      <c r="D896" s="65"/>
      <c r="E896" s="65"/>
      <c r="F896" s="65"/>
      <c r="G896" s="65"/>
    </row>
    <row r="897" spans="1:7">
      <c r="A897" s="65"/>
      <c r="B897" s="65"/>
      <c r="C897" s="65"/>
      <c r="D897" s="65"/>
      <c r="E897" s="65"/>
      <c r="F897" s="65"/>
      <c r="G897" s="65"/>
    </row>
    <row r="898" spans="1:7">
      <c r="A898" s="65"/>
      <c r="B898" s="65"/>
      <c r="C898" s="65"/>
      <c r="D898" s="65"/>
      <c r="E898" s="65"/>
      <c r="F898" s="65"/>
      <c r="G898" s="65"/>
    </row>
    <row r="899" spans="1:7">
      <c r="A899" s="65"/>
      <c r="B899" s="65"/>
      <c r="C899" s="65"/>
      <c r="D899" s="65"/>
      <c r="E899" s="65"/>
      <c r="F899" s="65"/>
      <c r="G899" s="65"/>
    </row>
    <row r="900" spans="1:7">
      <c r="A900" s="65"/>
      <c r="B900" s="65"/>
      <c r="C900" s="65"/>
      <c r="D900" s="65"/>
      <c r="E900" s="65"/>
      <c r="F900" s="65"/>
      <c r="G900" s="65"/>
    </row>
    <row r="901" spans="1:7">
      <c r="A901" s="65"/>
      <c r="B901" s="65"/>
      <c r="C901" s="65"/>
      <c r="D901" s="65"/>
      <c r="E901" s="65"/>
      <c r="F901" s="65"/>
      <c r="G901" s="65"/>
    </row>
    <row r="902" spans="1:7">
      <c r="A902" s="65"/>
      <c r="B902" s="65"/>
      <c r="C902" s="65"/>
      <c r="D902" s="65"/>
      <c r="E902" s="65"/>
      <c r="F902" s="65"/>
      <c r="G902" s="65"/>
    </row>
    <row r="903" spans="1:7">
      <c r="A903" s="65"/>
      <c r="B903" s="65"/>
      <c r="C903" s="65"/>
      <c r="D903" s="65"/>
      <c r="E903" s="65"/>
      <c r="F903" s="65"/>
      <c r="G903" s="65"/>
    </row>
    <row r="904" spans="1:7">
      <c r="A904" s="65"/>
      <c r="B904" s="65"/>
      <c r="C904" s="65"/>
      <c r="D904" s="65"/>
      <c r="E904" s="65"/>
      <c r="F904" s="65"/>
      <c r="G904" s="65"/>
    </row>
    <row r="905" spans="1:7">
      <c r="A905" s="65"/>
      <c r="B905" s="65"/>
      <c r="C905" s="65"/>
      <c r="D905" s="65"/>
      <c r="E905" s="65"/>
      <c r="F905" s="65"/>
      <c r="G905" s="65"/>
    </row>
    <row r="906" spans="1:7">
      <c r="A906" s="65"/>
      <c r="B906" s="65"/>
      <c r="C906" s="65"/>
      <c r="D906" s="65"/>
      <c r="E906" s="65"/>
      <c r="F906" s="65"/>
      <c r="G906" s="65"/>
    </row>
    <row r="907" spans="1:7">
      <c r="A907" s="65"/>
      <c r="B907" s="65"/>
      <c r="C907" s="65"/>
      <c r="D907" s="65"/>
      <c r="E907" s="65"/>
      <c r="F907" s="65"/>
      <c r="G907" s="65"/>
    </row>
    <row r="908" spans="1:7">
      <c r="A908" s="65"/>
      <c r="B908" s="65"/>
      <c r="C908" s="65"/>
      <c r="D908" s="65"/>
      <c r="E908" s="65"/>
      <c r="F908" s="65"/>
      <c r="G908" s="65"/>
    </row>
    <row r="909" spans="1:7">
      <c r="A909" s="65"/>
      <c r="B909" s="65"/>
      <c r="C909" s="65"/>
      <c r="D909" s="65"/>
      <c r="E909" s="65"/>
      <c r="F909" s="65"/>
      <c r="G909" s="65"/>
    </row>
    <row r="910" spans="1:7">
      <c r="A910" s="65"/>
      <c r="B910" s="65"/>
      <c r="C910" s="65"/>
      <c r="D910" s="65"/>
      <c r="E910" s="65"/>
      <c r="F910" s="65"/>
      <c r="G910" s="65"/>
    </row>
    <row r="911" spans="1:7">
      <c r="A911" s="65"/>
      <c r="B911" s="65"/>
      <c r="C911" s="65"/>
      <c r="D911" s="65"/>
      <c r="E911" s="65"/>
      <c r="F911" s="65"/>
      <c r="G911" s="65"/>
    </row>
    <row r="912" spans="1:7">
      <c r="A912" s="65"/>
      <c r="B912" s="65"/>
      <c r="C912" s="65"/>
      <c r="D912" s="65"/>
      <c r="E912" s="65"/>
      <c r="F912" s="65"/>
      <c r="G912" s="65"/>
    </row>
    <row r="913" spans="1:7">
      <c r="A913" s="65"/>
      <c r="B913" s="65"/>
      <c r="C913" s="65"/>
      <c r="D913" s="65"/>
      <c r="E913" s="65"/>
      <c r="F913" s="65"/>
      <c r="G913" s="65"/>
    </row>
    <row r="914" spans="1:7">
      <c r="A914" s="65"/>
      <c r="B914" s="65"/>
      <c r="C914" s="65"/>
      <c r="D914" s="65"/>
      <c r="E914" s="65"/>
      <c r="F914" s="65"/>
      <c r="G914" s="65"/>
    </row>
    <row r="915" spans="1:7">
      <c r="A915" s="65"/>
      <c r="B915" s="65"/>
      <c r="C915" s="65"/>
      <c r="D915" s="65"/>
      <c r="E915" s="65"/>
      <c r="F915" s="65"/>
      <c r="G915" s="65"/>
    </row>
    <row r="916" spans="1:7">
      <c r="A916" s="65"/>
      <c r="B916" s="65"/>
      <c r="C916" s="65"/>
      <c r="D916" s="65"/>
      <c r="E916" s="65"/>
      <c r="F916" s="65"/>
      <c r="G916" s="65"/>
    </row>
    <row r="917" spans="1:7">
      <c r="A917" s="65"/>
      <c r="B917" s="65"/>
      <c r="C917" s="65"/>
      <c r="D917" s="65"/>
      <c r="E917" s="65"/>
      <c r="F917" s="65"/>
      <c r="G917" s="65"/>
    </row>
    <row r="918" spans="1:7">
      <c r="A918" s="65"/>
      <c r="B918" s="65"/>
      <c r="C918" s="65"/>
      <c r="D918" s="65"/>
      <c r="E918" s="65"/>
      <c r="F918" s="65"/>
      <c r="G918" s="65"/>
    </row>
    <row r="919" spans="1:7">
      <c r="A919" s="65"/>
      <c r="B919" s="65"/>
      <c r="C919" s="65"/>
      <c r="D919" s="65"/>
      <c r="E919" s="65"/>
      <c r="F919" s="65"/>
      <c r="G919" s="65"/>
    </row>
    <row r="920" spans="1:7">
      <c r="A920" s="65"/>
      <c r="B920" s="65"/>
      <c r="C920" s="65"/>
      <c r="D920" s="65"/>
      <c r="E920" s="65"/>
      <c r="F920" s="65"/>
      <c r="G920" s="65"/>
    </row>
    <row r="921" spans="1:7">
      <c r="A921" s="65"/>
      <c r="B921" s="65"/>
      <c r="C921" s="65"/>
      <c r="D921" s="65"/>
      <c r="E921" s="65"/>
      <c r="F921" s="65"/>
      <c r="G921" s="65"/>
    </row>
    <row r="922" spans="1:7">
      <c r="A922" s="65"/>
      <c r="B922" s="65"/>
      <c r="C922" s="65"/>
      <c r="D922" s="65"/>
      <c r="E922" s="65"/>
      <c r="F922" s="65"/>
      <c r="G922" s="65"/>
    </row>
    <row r="923" spans="1:7">
      <c r="A923" s="65"/>
      <c r="B923" s="65"/>
      <c r="C923" s="65"/>
      <c r="D923" s="65"/>
      <c r="E923" s="65"/>
      <c r="F923" s="65"/>
      <c r="G923" s="65"/>
    </row>
    <row r="924" spans="1:7">
      <c r="A924" s="65"/>
      <c r="B924" s="65"/>
      <c r="C924" s="65"/>
      <c r="D924" s="65"/>
      <c r="E924" s="65"/>
      <c r="F924" s="65"/>
      <c r="G924" s="65"/>
    </row>
    <row r="925" spans="1:7">
      <c r="A925" s="65"/>
      <c r="B925" s="65"/>
      <c r="C925" s="65"/>
      <c r="D925" s="65"/>
      <c r="E925" s="65"/>
      <c r="F925" s="65"/>
      <c r="G925" s="65"/>
    </row>
    <row r="926" spans="1:7">
      <c r="A926" s="65"/>
      <c r="B926" s="65"/>
      <c r="C926" s="65"/>
      <c r="D926" s="65"/>
      <c r="E926" s="65"/>
      <c r="F926" s="65"/>
      <c r="G926" s="65"/>
    </row>
    <row r="927" spans="1:7">
      <c r="A927" s="65"/>
      <c r="B927" s="65"/>
      <c r="C927" s="65"/>
      <c r="D927" s="65"/>
      <c r="E927" s="65"/>
      <c r="F927" s="65"/>
      <c r="G927" s="65"/>
    </row>
    <row r="928" spans="1:7">
      <c r="A928" s="65"/>
      <c r="B928" s="65"/>
      <c r="C928" s="65"/>
      <c r="D928" s="65"/>
      <c r="E928" s="65"/>
      <c r="F928" s="65"/>
      <c r="G928" s="65"/>
    </row>
    <row r="929" spans="1:7">
      <c r="A929" s="65"/>
      <c r="B929" s="65"/>
      <c r="C929" s="65"/>
      <c r="D929" s="65"/>
      <c r="E929" s="65"/>
      <c r="F929" s="65"/>
      <c r="G929" s="65"/>
    </row>
    <row r="930" spans="1:7">
      <c r="A930" s="65"/>
      <c r="B930" s="65"/>
      <c r="C930" s="65"/>
      <c r="D930" s="65"/>
      <c r="E930" s="65"/>
      <c r="F930" s="65"/>
      <c r="G930" s="65"/>
    </row>
    <row r="931" spans="1:7">
      <c r="A931" s="65"/>
      <c r="B931" s="65"/>
      <c r="C931" s="65"/>
      <c r="D931" s="65"/>
      <c r="E931" s="65"/>
      <c r="F931" s="65"/>
      <c r="G931" s="65"/>
    </row>
    <row r="932" spans="1:7">
      <c r="A932" s="65"/>
      <c r="B932" s="65"/>
      <c r="C932" s="65"/>
      <c r="D932" s="65"/>
      <c r="E932" s="65"/>
      <c r="F932" s="65"/>
      <c r="G932" s="65"/>
    </row>
    <row r="933" spans="1:7">
      <c r="A933" s="65"/>
      <c r="B933" s="65"/>
      <c r="C933" s="65"/>
      <c r="D933" s="65"/>
      <c r="E933" s="65"/>
      <c r="F933" s="65"/>
      <c r="G933" s="65"/>
    </row>
    <row r="934" spans="1:7">
      <c r="A934" s="65"/>
      <c r="B934" s="65"/>
      <c r="C934" s="65"/>
      <c r="D934" s="65"/>
      <c r="E934" s="65"/>
      <c r="F934" s="65"/>
      <c r="G934" s="65"/>
    </row>
    <row r="935" spans="1:7">
      <c r="A935" s="65"/>
      <c r="B935" s="65"/>
      <c r="C935" s="65"/>
      <c r="D935" s="65"/>
      <c r="E935" s="65"/>
      <c r="F935" s="65"/>
      <c r="G935" s="65"/>
    </row>
    <row r="936" spans="1:7">
      <c r="A936" s="65"/>
      <c r="B936" s="65"/>
      <c r="C936" s="65"/>
      <c r="D936" s="65"/>
      <c r="E936" s="65"/>
      <c r="F936" s="65"/>
      <c r="G936" s="65"/>
    </row>
    <row r="937" spans="1:7">
      <c r="A937" s="65"/>
      <c r="B937" s="65"/>
      <c r="C937" s="65"/>
      <c r="D937" s="65"/>
      <c r="E937" s="65"/>
      <c r="F937" s="65"/>
      <c r="G937" s="65"/>
    </row>
    <row r="938" spans="1:7">
      <c r="A938" s="65"/>
      <c r="B938" s="65"/>
      <c r="C938" s="65"/>
      <c r="D938" s="65"/>
      <c r="E938" s="65"/>
      <c r="F938" s="65"/>
      <c r="G938" s="65"/>
    </row>
    <row r="939" spans="1:7">
      <c r="A939" s="65"/>
      <c r="B939" s="65"/>
      <c r="C939" s="65"/>
      <c r="D939" s="65"/>
      <c r="E939" s="65"/>
      <c r="F939" s="65"/>
      <c r="G939" s="65"/>
    </row>
    <row r="940" spans="1:7">
      <c r="A940" s="65"/>
      <c r="B940" s="65"/>
      <c r="C940" s="65"/>
      <c r="D940" s="65"/>
      <c r="E940" s="65"/>
      <c r="F940" s="65"/>
      <c r="G940" s="65"/>
    </row>
    <row r="941" spans="1:7">
      <c r="A941" s="65"/>
      <c r="B941" s="65"/>
      <c r="C941" s="65"/>
      <c r="D941" s="65"/>
      <c r="E941" s="65"/>
      <c r="F941" s="65"/>
      <c r="G941" s="65"/>
    </row>
    <row r="942" spans="1:7">
      <c r="A942" s="65"/>
      <c r="B942" s="65"/>
      <c r="C942" s="65"/>
      <c r="D942" s="65"/>
      <c r="E942" s="65"/>
      <c r="F942" s="65"/>
      <c r="G942" s="65"/>
    </row>
    <row r="943" spans="1:7">
      <c r="A943" s="65"/>
      <c r="B943" s="65"/>
      <c r="C943" s="65"/>
      <c r="D943" s="65"/>
      <c r="E943" s="65"/>
      <c r="F943" s="65"/>
      <c r="G943" s="65"/>
    </row>
    <row r="944" spans="1:7">
      <c r="A944" s="65"/>
      <c r="B944" s="65"/>
      <c r="C944" s="65"/>
      <c r="D944" s="65"/>
      <c r="E944" s="65"/>
      <c r="F944" s="65"/>
      <c r="G944" s="65"/>
    </row>
    <row r="945" spans="1:7">
      <c r="A945" s="65"/>
      <c r="B945" s="65"/>
      <c r="C945" s="65"/>
      <c r="D945" s="65"/>
      <c r="E945" s="65"/>
      <c r="F945" s="65"/>
      <c r="G945" s="65"/>
    </row>
    <row r="946" spans="1:7">
      <c r="A946" s="65"/>
      <c r="B946" s="65"/>
      <c r="C946" s="65"/>
      <c r="D946" s="65"/>
      <c r="E946" s="65"/>
      <c r="F946" s="65"/>
      <c r="G946" s="65"/>
    </row>
    <row r="947" spans="1:7">
      <c r="A947" s="65"/>
      <c r="B947" s="65"/>
      <c r="C947" s="65"/>
      <c r="D947" s="65"/>
      <c r="E947" s="65"/>
      <c r="F947" s="65"/>
      <c r="G947" s="65"/>
    </row>
    <row r="948" spans="1:7">
      <c r="A948" s="65"/>
      <c r="B948" s="65"/>
      <c r="C948" s="65"/>
      <c r="D948" s="65"/>
      <c r="E948" s="65"/>
      <c r="F948" s="65"/>
      <c r="G948" s="65"/>
    </row>
    <row r="949" spans="1:7">
      <c r="A949" s="65"/>
      <c r="B949" s="65"/>
      <c r="C949" s="65"/>
      <c r="D949" s="65"/>
      <c r="E949" s="65"/>
      <c r="F949" s="65"/>
      <c r="G949" s="65"/>
    </row>
    <row r="950" spans="1:7">
      <c r="A950" s="65"/>
      <c r="B950" s="65"/>
      <c r="C950" s="65"/>
      <c r="D950" s="65"/>
      <c r="E950" s="65"/>
      <c r="F950" s="65"/>
      <c r="G950" s="65"/>
    </row>
    <row r="951" spans="1:7">
      <c r="A951" s="65"/>
      <c r="B951" s="65"/>
      <c r="C951" s="65"/>
      <c r="D951" s="65"/>
      <c r="E951" s="65"/>
      <c r="F951" s="65"/>
      <c r="G951" s="65"/>
    </row>
    <row r="952" spans="1:7">
      <c r="A952" s="65"/>
      <c r="B952" s="65"/>
      <c r="C952" s="65"/>
      <c r="D952" s="65"/>
      <c r="E952" s="65"/>
      <c r="F952" s="65"/>
      <c r="G952" s="65"/>
    </row>
    <row r="953" spans="1:7">
      <c r="A953" s="65"/>
      <c r="B953" s="65"/>
      <c r="C953" s="65"/>
      <c r="D953" s="65"/>
      <c r="E953" s="65"/>
      <c r="F953" s="65"/>
      <c r="G953" s="65"/>
    </row>
    <row r="954" spans="1:7">
      <c r="A954" s="65"/>
      <c r="B954" s="65"/>
      <c r="C954" s="65"/>
      <c r="D954" s="65"/>
      <c r="E954" s="65"/>
      <c r="F954" s="65"/>
      <c r="G954" s="65"/>
    </row>
    <row r="955" spans="1:7">
      <c r="A955" s="65"/>
      <c r="B955" s="65"/>
      <c r="C955" s="65"/>
      <c r="D955" s="65"/>
      <c r="E955" s="65"/>
      <c r="F955" s="65"/>
      <c r="G955" s="65"/>
    </row>
    <row r="956" spans="1:7">
      <c r="A956" s="65"/>
      <c r="B956" s="65"/>
      <c r="C956" s="65"/>
      <c r="D956" s="65"/>
      <c r="E956" s="65"/>
      <c r="F956" s="65"/>
      <c r="G956" s="65"/>
    </row>
    <row r="957" spans="1:7">
      <c r="A957" s="65"/>
      <c r="B957" s="65"/>
      <c r="C957" s="65"/>
      <c r="D957" s="65"/>
      <c r="E957" s="65"/>
      <c r="F957" s="65"/>
      <c r="G957" s="65"/>
    </row>
    <row r="958" spans="1:7">
      <c r="A958" s="65"/>
      <c r="B958" s="65"/>
      <c r="C958" s="65"/>
      <c r="D958" s="65"/>
      <c r="E958" s="65"/>
      <c r="F958" s="65"/>
      <c r="G958" s="65"/>
    </row>
    <row r="959" spans="1:7">
      <c r="A959" s="65"/>
      <c r="B959" s="65"/>
      <c r="C959" s="65"/>
      <c r="D959" s="65"/>
      <c r="E959" s="65"/>
      <c r="F959" s="65"/>
      <c r="G959" s="65"/>
    </row>
    <row r="960" spans="1:7">
      <c r="A960" s="65"/>
      <c r="B960" s="65"/>
      <c r="C960" s="65"/>
      <c r="D960" s="65"/>
      <c r="E960" s="65"/>
      <c r="F960" s="65"/>
      <c r="G960" s="65"/>
    </row>
    <row r="961" spans="1:7">
      <c r="A961" s="65"/>
      <c r="B961" s="65"/>
      <c r="C961" s="65"/>
      <c r="D961" s="65"/>
      <c r="E961" s="65"/>
      <c r="F961" s="65"/>
      <c r="G961" s="65"/>
    </row>
    <row r="962" spans="1:7">
      <c r="A962" s="65"/>
      <c r="B962" s="65"/>
      <c r="C962" s="65"/>
      <c r="D962" s="65"/>
      <c r="E962" s="65"/>
      <c r="F962" s="65"/>
      <c r="G962" s="65"/>
    </row>
    <row r="963" spans="1:7">
      <c r="A963" s="65"/>
      <c r="B963" s="65"/>
      <c r="C963" s="65"/>
      <c r="D963" s="65"/>
      <c r="E963" s="65"/>
      <c r="F963" s="65"/>
      <c r="G963" s="65"/>
    </row>
    <row r="964" spans="1:7">
      <c r="A964" s="65"/>
      <c r="B964" s="65"/>
      <c r="C964" s="65"/>
      <c r="D964" s="65"/>
      <c r="E964" s="65"/>
      <c r="F964" s="65"/>
      <c r="G964" s="65"/>
    </row>
    <row r="965" spans="1:7">
      <c r="A965" s="65"/>
      <c r="B965" s="65"/>
      <c r="C965" s="65"/>
      <c r="D965" s="65"/>
      <c r="E965" s="65"/>
      <c r="F965" s="65"/>
      <c r="G965" s="65"/>
    </row>
    <row r="966" spans="1:7">
      <c r="A966" s="65"/>
      <c r="B966" s="65"/>
      <c r="C966" s="65"/>
      <c r="D966" s="65"/>
      <c r="E966" s="65"/>
      <c r="F966" s="65"/>
      <c r="G966" s="65"/>
    </row>
    <row r="967" spans="1:7">
      <c r="A967" s="65"/>
      <c r="B967" s="65"/>
      <c r="C967" s="65"/>
      <c r="D967" s="65"/>
      <c r="E967" s="65"/>
      <c r="F967" s="65"/>
      <c r="G967" s="65"/>
    </row>
    <row r="968" spans="1:7">
      <c r="A968" s="65"/>
      <c r="B968" s="65"/>
      <c r="C968" s="65"/>
      <c r="D968" s="65"/>
      <c r="E968" s="65"/>
      <c r="F968" s="65"/>
      <c r="G968" s="65"/>
    </row>
    <row r="969" spans="1:7">
      <c r="A969" s="65"/>
      <c r="B969" s="65"/>
      <c r="C969" s="65"/>
      <c r="D969" s="65"/>
      <c r="E969" s="65"/>
      <c r="F969" s="65"/>
      <c r="G969" s="65"/>
    </row>
    <row r="970" spans="1:7">
      <c r="A970" s="65"/>
      <c r="B970" s="65"/>
      <c r="C970" s="65"/>
      <c r="D970" s="65"/>
      <c r="E970" s="65"/>
      <c r="F970" s="65"/>
      <c r="G970" s="65"/>
    </row>
    <row r="971" spans="1:7">
      <c r="A971" s="65"/>
      <c r="B971" s="65"/>
      <c r="C971" s="65"/>
      <c r="D971" s="65"/>
      <c r="E971" s="65"/>
      <c r="F971" s="65"/>
      <c r="G971" s="65"/>
    </row>
    <row r="972" spans="1:7">
      <c r="A972" s="65"/>
      <c r="B972" s="65"/>
      <c r="C972" s="65"/>
      <c r="D972" s="65"/>
      <c r="E972" s="65"/>
      <c r="F972" s="65"/>
      <c r="G972" s="65"/>
    </row>
    <row r="973" spans="1:7">
      <c r="A973" s="65"/>
      <c r="B973" s="65"/>
      <c r="C973" s="65"/>
      <c r="D973" s="65"/>
      <c r="E973" s="65"/>
      <c r="F973" s="65"/>
      <c r="G973" s="65"/>
    </row>
    <row r="974" spans="1:7">
      <c r="A974" s="65"/>
      <c r="B974" s="65"/>
      <c r="C974" s="65"/>
      <c r="D974" s="65"/>
      <c r="E974" s="65"/>
      <c r="F974" s="65"/>
      <c r="G974" s="65"/>
    </row>
    <row r="975" spans="1:7">
      <c r="A975" s="65"/>
      <c r="B975" s="65"/>
      <c r="C975" s="65"/>
      <c r="D975" s="65"/>
      <c r="E975" s="65"/>
      <c r="F975" s="65"/>
      <c r="G975" s="65"/>
    </row>
    <row r="976" spans="1:7">
      <c r="A976" s="65"/>
      <c r="B976" s="65"/>
      <c r="C976" s="65"/>
      <c r="D976" s="65"/>
      <c r="E976" s="65"/>
      <c r="F976" s="65"/>
      <c r="G976" s="65"/>
    </row>
    <row r="977" spans="1:7">
      <c r="A977" s="65"/>
      <c r="B977" s="65"/>
      <c r="C977" s="65"/>
      <c r="D977" s="65"/>
      <c r="E977" s="65"/>
      <c r="F977" s="65"/>
      <c r="G977" s="65"/>
    </row>
    <row r="978" spans="1:7">
      <c r="A978" s="65"/>
      <c r="B978" s="65"/>
      <c r="C978" s="65"/>
      <c r="D978" s="65"/>
      <c r="E978" s="65"/>
      <c r="F978" s="65"/>
      <c r="G978" s="65"/>
    </row>
    <row r="979" spans="1:7">
      <c r="A979" s="65"/>
      <c r="B979" s="65"/>
      <c r="C979" s="65"/>
      <c r="D979" s="65"/>
      <c r="E979" s="65"/>
      <c r="F979" s="65"/>
      <c r="G979" s="65"/>
    </row>
    <row r="980" spans="1:7">
      <c r="A980" s="65"/>
      <c r="B980" s="65"/>
      <c r="C980" s="65"/>
      <c r="D980" s="65"/>
      <c r="E980" s="65"/>
      <c r="F980" s="65"/>
      <c r="G980" s="65"/>
    </row>
    <row r="981" spans="1:7">
      <c r="A981" s="65"/>
      <c r="B981" s="65"/>
      <c r="C981" s="65"/>
      <c r="D981" s="65"/>
      <c r="E981" s="65"/>
      <c r="F981" s="65"/>
      <c r="G981" s="65"/>
    </row>
    <row r="982" spans="1:7">
      <c r="A982" s="65"/>
      <c r="B982" s="65"/>
      <c r="C982" s="65"/>
      <c r="D982" s="65"/>
      <c r="E982" s="65"/>
      <c r="F982" s="65"/>
      <c r="G982" s="65"/>
    </row>
    <row r="983" spans="1:7">
      <c r="A983" s="65"/>
      <c r="B983" s="65"/>
      <c r="C983" s="65"/>
      <c r="D983" s="65"/>
      <c r="E983" s="65"/>
      <c r="F983" s="65"/>
      <c r="G983" s="65"/>
    </row>
    <row r="984" spans="1:7">
      <c r="A984" s="65"/>
      <c r="B984" s="65"/>
      <c r="C984" s="65"/>
      <c r="D984" s="65"/>
      <c r="E984" s="65"/>
      <c r="F984" s="65"/>
      <c r="G984" s="65"/>
    </row>
    <row r="985" spans="1:7">
      <c r="A985" s="65"/>
      <c r="B985" s="65"/>
      <c r="C985" s="65"/>
      <c r="D985" s="65"/>
      <c r="E985" s="65"/>
      <c r="F985" s="65"/>
      <c r="G985" s="65"/>
    </row>
    <row r="986" spans="1:7">
      <c r="A986" s="65"/>
      <c r="B986" s="65"/>
      <c r="C986" s="65"/>
      <c r="D986" s="65"/>
      <c r="E986" s="65"/>
      <c r="F986" s="65"/>
      <c r="G986" s="65"/>
    </row>
    <row r="987" spans="1:7">
      <c r="A987" s="65"/>
      <c r="B987" s="65"/>
      <c r="C987" s="65"/>
      <c r="D987" s="65"/>
      <c r="E987" s="65"/>
      <c r="F987" s="65"/>
      <c r="G987" s="65"/>
    </row>
    <row r="988" spans="1:7">
      <c r="A988" s="65"/>
      <c r="B988" s="65"/>
      <c r="C988" s="65"/>
      <c r="D988" s="65"/>
      <c r="E988" s="65"/>
      <c r="F988" s="65"/>
      <c r="G988" s="65"/>
    </row>
    <row r="989" spans="1:7">
      <c r="A989" s="65"/>
      <c r="B989" s="65"/>
      <c r="C989" s="65"/>
      <c r="D989" s="65"/>
      <c r="E989" s="65"/>
      <c r="F989" s="65"/>
      <c r="G989" s="65"/>
    </row>
    <row r="990" spans="1:7">
      <c r="A990" s="65"/>
      <c r="B990" s="65"/>
      <c r="C990" s="65"/>
      <c r="D990" s="65"/>
      <c r="E990" s="65"/>
      <c r="F990" s="65"/>
      <c r="G990" s="65"/>
    </row>
    <row r="991" spans="1:7">
      <c r="A991" s="65"/>
      <c r="B991" s="65"/>
      <c r="C991" s="65"/>
      <c r="D991" s="65"/>
      <c r="E991" s="65"/>
      <c r="F991" s="65"/>
      <c r="G991" s="65"/>
    </row>
    <row r="992" spans="1:7">
      <c r="A992" s="65"/>
      <c r="B992" s="65"/>
      <c r="C992" s="65"/>
      <c r="D992" s="65"/>
      <c r="E992" s="65"/>
      <c r="F992" s="65"/>
      <c r="G992" s="65"/>
    </row>
    <row r="993" spans="1:7">
      <c r="A993" s="65"/>
      <c r="B993" s="65"/>
      <c r="C993" s="65"/>
      <c r="D993" s="65"/>
      <c r="E993" s="65"/>
      <c r="F993" s="65"/>
      <c r="G993" s="65"/>
    </row>
    <row r="994" spans="1:7">
      <c r="A994" s="65"/>
      <c r="B994" s="65"/>
      <c r="C994" s="65"/>
      <c r="D994" s="65"/>
      <c r="E994" s="65"/>
      <c r="F994" s="65"/>
      <c r="G994" s="65"/>
    </row>
    <row r="995" spans="1:7">
      <c r="A995" s="65"/>
      <c r="B995" s="65"/>
      <c r="C995" s="65"/>
      <c r="D995" s="65"/>
      <c r="E995" s="65"/>
      <c r="F995" s="65"/>
      <c r="G995" s="65"/>
    </row>
    <row r="996" spans="1:7">
      <c r="A996" s="65"/>
      <c r="B996" s="65"/>
      <c r="C996" s="65"/>
      <c r="D996" s="65"/>
      <c r="E996" s="65"/>
      <c r="F996" s="65"/>
      <c r="G996" s="65"/>
    </row>
    <row r="997" spans="1:7">
      <c r="A997" s="65"/>
      <c r="B997" s="65"/>
      <c r="C997" s="65"/>
      <c r="D997" s="65"/>
      <c r="E997" s="65"/>
      <c r="F997" s="65"/>
      <c r="G997" s="65"/>
    </row>
    <row r="998" spans="1:7">
      <c r="A998" s="65"/>
      <c r="B998" s="65"/>
      <c r="C998" s="65"/>
      <c r="D998" s="65"/>
      <c r="E998" s="65"/>
      <c r="F998" s="65"/>
      <c r="G998" s="65"/>
    </row>
    <row r="999" spans="1:7">
      <c r="A999" s="65"/>
      <c r="B999" s="65"/>
      <c r="C999" s="65"/>
      <c r="D999" s="65"/>
      <c r="E999" s="65"/>
      <c r="F999" s="65"/>
      <c r="G999" s="65"/>
    </row>
    <row r="1000" spans="1:7">
      <c r="A1000" s="65"/>
      <c r="B1000" s="65"/>
      <c r="C1000" s="65"/>
      <c r="D1000" s="65"/>
      <c r="E1000" s="65"/>
      <c r="F1000" s="65"/>
      <c r="G1000" s="65"/>
    </row>
    <row r="1001" spans="1:7">
      <c r="A1001" s="65"/>
      <c r="B1001" s="65"/>
      <c r="C1001" s="65"/>
      <c r="D1001" s="65"/>
      <c r="E1001" s="65"/>
      <c r="F1001" s="65"/>
      <c r="G1001" s="65"/>
    </row>
    <row r="1002" spans="1:7">
      <c r="A1002" s="65"/>
      <c r="B1002" s="65"/>
      <c r="C1002" s="65"/>
      <c r="D1002" s="65"/>
      <c r="E1002" s="65"/>
      <c r="F1002" s="65"/>
      <c r="G1002" s="65"/>
    </row>
    <row r="1003" spans="1:7">
      <c r="A1003" s="65"/>
      <c r="B1003" s="65"/>
      <c r="C1003" s="65"/>
      <c r="D1003" s="65"/>
      <c r="E1003" s="65"/>
      <c r="F1003" s="65"/>
      <c r="G1003" s="65"/>
    </row>
    <row r="1004" spans="1:7">
      <c r="A1004" s="65"/>
      <c r="B1004" s="65"/>
      <c r="C1004" s="65"/>
      <c r="D1004" s="65"/>
      <c r="E1004" s="65"/>
      <c r="F1004" s="65"/>
      <c r="G1004" s="65"/>
    </row>
    <row r="1005" spans="1:7">
      <c r="A1005" s="65"/>
      <c r="B1005" s="65"/>
      <c r="C1005" s="65"/>
      <c r="D1005" s="65"/>
      <c r="E1005" s="65"/>
      <c r="F1005" s="65"/>
      <c r="G1005" s="65"/>
    </row>
    <row r="1006" spans="1:7">
      <c r="A1006" s="65"/>
      <c r="B1006" s="65"/>
      <c r="C1006" s="65"/>
      <c r="D1006" s="65"/>
      <c r="E1006" s="65"/>
      <c r="F1006" s="65"/>
      <c r="G1006" s="65"/>
    </row>
    <row r="1007" spans="1:7">
      <c r="A1007" s="65"/>
      <c r="B1007" s="65"/>
      <c r="C1007" s="65"/>
      <c r="D1007" s="65"/>
      <c r="E1007" s="65"/>
      <c r="F1007" s="65"/>
      <c r="G1007" s="65"/>
    </row>
    <row r="1008" spans="1:7">
      <c r="A1008" s="65"/>
      <c r="B1008" s="65"/>
      <c r="C1008" s="65"/>
      <c r="D1008" s="65"/>
      <c r="E1008" s="65"/>
      <c r="F1008" s="65"/>
      <c r="G1008" s="65"/>
    </row>
    <row r="1009" spans="1:7">
      <c r="A1009" s="65"/>
      <c r="B1009" s="65"/>
      <c r="C1009" s="65"/>
      <c r="D1009" s="65"/>
      <c r="E1009" s="65"/>
      <c r="F1009" s="65"/>
      <c r="G1009" s="65"/>
    </row>
    <row r="1010" spans="1:7">
      <c r="A1010" s="65"/>
      <c r="B1010" s="65"/>
      <c r="C1010" s="65"/>
      <c r="D1010" s="65"/>
      <c r="E1010" s="65"/>
      <c r="F1010" s="65"/>
      <c r="G1010" s="65"/>
    </row>
    <row r="1011" spans="1:7">
      <c r="A1011" s="65"/>
      <c r="B1011" s="65"/>
      <c r="C1011" s="65"/>
      <c r="D1011" s="65"/>
      <c r="E1011" s="65"/>
      <c r="F1011" s="65"/>
      <c r="G1011" s="65"/>
    </row>
    <row r="1012" spans="1:7">
      <c r="A1012" s="65"/>
      <c r="B1012" s="65"/>
      <c r="C1012" s="65"/>
      <c r="D1012" s="65"/>
      <c r="E1012" s="65"/>
      <c r="F1012" s="65"/>
      <c r="G1012" s="65"/>
    </row>
    <row r="1013" spans="1:7">
      <c r="A1013" s="65"/>
      <c r="B1013" s="65"/>
      <c r="C1013" s="65"/>
      <c r="D1013" s="65"/>
      <c r="E1013" s="65"/>
      <c r="F1013" s="65"/>
      <c r="G1013" s="65"/>
    </row>
    <row r="1014" spans="1:7">
      <c r="A1014" s="65"/>
      <c r="B1014" s="65"/>
      <c r="C1014" s="65"/>
      <c r="D1014" s="65"/>
      <c r="E1014" s="65"/>
      <c r="F1014" s="65"/>
      <c r="G1014" s="65"/>
    </row>
    <row r="1015" spans="1:7">
      <c r="A1015" s="65"/>
      <c r="B1015" s="65"/>
      <c r="C1015" s="65"/>
      <c r="D1015" s="65"/>
      <c r="E1015" s="65"/>
      <c r="F1015" s="65"/>
      <c r="G1015" s="65"/>
    </row>
    <row r="1016" spans="1:7">
      <c r="A1016" s="65"/>
      <c r="B1016" s="65"/>
      <c r="C1016" s="65"/>
      <c r="D1016" s="65"/>
      <c r="E1016" s="65"/>
      <c r="F1016" s="65"/>
      <c r="G1016" s="65"/>
    </row>
    <row r="1017" spans="1:7">
      <c r="A1017" s="65"/>
      <c r="B1017" s="65"/>
      <c r="C1017" s="65"/>
      <c r="D1017" s="65"/>
      <c r="E1017" s="65"/>
      <c r="F1017" s="65"/>
      <c r="G1017" s="65"/>
    </row>
    <row r="1018" spans="1:7">
      <c r="A1018" s="65"/>
      <c r="B1018" s="65"/>
      <c r="C1018" s="65"/>
      <c r="D1018" s="65"/>
      <c r="E1018" s="65"/>
      <c r="F1018" s="65"/>
      <c r="G1018" s="65"/>
    </row>
    <row r="1019" spans="1:7">
      <c r="A1019" s="65"/>
      <c r="B1019" s="65"/>
      <c r="C1019" s="65"/>
      <c r="D1019" s="65"/>
      <c r="E1019" s="65"/>
      <c r="F1019" s="65"/>
      <c r="G1019" s="65"/>
    </row>
    <row r="1020" spans="1:7">
      <c r="A1020" s="65"/>
      <c r="B1020" s="65"/>
      <c r="C1020" s="65"/>
      <c r="D1020" s="65"/>
      <c r="E1020" s="65"/>
      <c r="F1020" s="65"/>
      <c r="G1020" s="65"/>
    </row>
    <row r="1021" spans="1:7">
      <c r="A1021" s="65"/>
      <c r="B1021" s="65"/>
      <c r="C1021" s="65"/>
      <c r="D1021" s="65"/>
      <c r="E1021" s="65"/>
      <c r="F1021" s="65"/>
      <c r="G1021" s="65"/>
    </row>
    <row r="1022" spans="1:7">
      <c r="A1022" s="65"/>
      <c r="B1022" s="65"/>
      <c r="C1022" s="65"/>
      <c r="D1022" s="65"/>
      <c r="E1022" s="65"/>
      <c r="F1022" s="65"/>
      <c r="G1022" s="65"/>
    </row>
    <row r="1023" spans="1:7">
      <c r="A1023" s="65"/>
      <c r="B1023" s="65"/>
      <c r="C1023" s="65"/>
      <c r="D1023" s="65"/>
      <c r="E1023" s="65"/>
      <c r="F1023" s="65"/>
      <c r="G1023" s="65"/>
    </row>
    <row r="1024" spans="1:7">
      <c r="A1024" s="65"/>
      <c r="B1024" s="65"/>
      <c r="C1024" s="65"/>
      <c r="D1024" s="65"/>
      <c r="E1024" s="65"/>
      <c r="F1024" s="65"/>
      <c r="G1024" s="65"/>
    </row>
    <row r="1025" spans="1:7">
      <c r="A1025" s="65"/>
      <c r="B1025" s="65"/>
      <c r="C1025" s="65"/>
      <c r="D1025" s="65"/>
      <c r="E1025" s="65"/>
      <c r="F1025" s="65"/>
      <c r="G1025" s="65"/>
    </row>
    <row r="1026" spans="1:7">
      <c r="A1026" s="65"/>
      <c r="B1026" s="65"/>
      <c r="C1026" s="65"/>
      <c r="D1026" s="65"/>
      <c r="E1026" s="65"/>
      <c r="F1026" s="65"/>
      <c r="G1026" s="65"/>
    </row>
    <row r="1027" spans="1:7">
      <c r="A1027" s="65"/>
      <c r="B1027" s="65"/>
      <c r="C1027" s="65"/>
      <c r="D1027" s="65"/>
      <c r="E1027" s="65"/>
      <c r="F1027" s="65"/>
      <c r="G1027" s="65"/>
    </row>
    <row r="1028" spans="1:7">
      <c r="A1028" s="65"/>
      <c r="B1028" s="65"/>
      <c r="C1028" s="65"/>
      <c r="D1028" s="65"/>
      <c r="E1028" s="65"/>
      <c r="F1028" s="65"/>
      <c r="G1028" s="65"/>
    </row>
    <row r="1029" spans="1:7">
      <c r="A1029" s="65"/>
      <c r="B1029" s="65"/>
      <c r="C1029" s="65"/>
      <c r="D1029" s="65"/>
      <c r="E1029" s="65"/>
      <c r="F1029" s="65"/>
      <c r="G1029" s="65"/>
    </row>
    <row r="1030" spans="1:7">
      <c r="A1030" s="65"/>
      <c r="B1030" s="65"/>
      <c r="C1030" s="65"/>
      <c r="D1030" s="65"/>
      <c r="E1030" s="65"/>
      <c r="F1030" s="65"/>
      <c r="G1030" s="65"/>
    </row>
    <row r="1031" spans="1:7">
      <c r="A1031" s="65"/>
      <c r="B1031" s="65"/>
      <c r="C1031" s="65"/>
      <c r="D1031" s="65"/>
      <c r="E1031" s="65"/>
      <c r="F1031" s="65"/>
      <c r="G1031" s="65"/>
    </row>
    <row r="1032" spans="1:7">
      <c r="A1032" s="65"/>
      <c r="B1032" s="65"/>
      <c r="C1032" s="65"/>
      <c r="D1032" s="65"/>
      <c r="E1032" s="65"/>
      <c r="F1032" s="65"/>
      <c r="G1032" s="65"/>
    </row>
    <row r="1033" spans="1:7">
      <c r="A1033" s="65"/>
      <c r="B1033" s="65"/>
      <c r="C1033" s="65"/>
      <c r="D1033" s="65"/>
      <c r="E1033" s="65"/>
      <c r="F1033" s="65"/>
      <c r="G1033" s="65"/>
    </row>
    <row r="1034" spans="1:7">
      <c r="A1034" s="65"/>
      <c r="B1034" s="65"/>
      <c r="C1034" s="65"/>
      <c r="D1034" s="65"/>
      <c r="E1034" s="65"/>
      <c r="F1034" s="65"/>
      <c r="G1034" s="65"/>
    </row>
    <row r="1035" spans="1:7">
      <c r="A1035" s="65"/>
      <c r="B1035" s="65"/>
      <c r="C1035" s="65"/>
      <c r="D1035" s="65"/>
      <c r="E1035" s="65"/>
      <c r="F1035" s="65"/>
      <c r="G1035" s="65"/>
    </row>
    <row r="1036" spans="1:7">
      <c r="A1036" s="65"/>
      <c r="B1036" s="65"/>
      <c r="C1036" s="65"/>
      <c r="D1036" s="65"/>
      <c r="E1036" s="65"/>
      <c r="F1036" s="65"/>
      <c r="G1036" s="65"/>
    </row>
  </sheetData>
  <sheetProtection algorithmName="SHA-512" hashValue="F4rIY5wCVprzfLhB5sIGhj8F6jBITfH2HqKrlb79hWYu8HIAhbzrj3BJuuJzdIxb6suj3Fnmlz1Ij1c0tgk0Ww==" saltValue="QSqYvQlJBoyyDA//3u4Hrw==" spinCount="100000" sheet="1" objects="1" scenarios="1"/>
  <mergeCells count="35">
    <mergeCell ref="B198:D198"/>
    <mergeCell ref="F198:G198"/>
    <mergeCell ref="A201:G201"/>
    <mergeCell ref="B158:D158"/>
    <mergeCell ref="F158:G158"/>
    <mergeCell ref="B159:D159"/>
    <mergeCell ref="F159:G159"/>
    <mergeCell ref="B197:D197"/>
    <mergeCell ref="F197:G197"/>
    <mergeCell ref="A133:G133"/>
    <mergeCell ref="A136:G136"/>
    <mergeCell ref="A137:G137"/>
    <mergeCell ref="A140:A142"/>
    <mergeCell ref="B140:B142"/>
    <mergeCell ref="C140:C142"/>
    <mergeCell ref="D140:F140"/>
    <mergeCell ref="G140:G142"/>
    <mergeCell ref="F141:F142"/>
    <mergeCell ref="A69:G69"/>
    <mergeCell ref="A71:G71"/>
    <mergeCell ref="A72:G72"/>
    <mergeCell ref="A75:A77"/>
    <mergeCell ref="B75:B77"/>
    <mergeCell ref="C75:C77"/>
    <mergeCell ref="D75:F75"/>
    <mergeCell ref="G75:G77"/>
    <mergeCell ref="F76:F77"/>
    <mergeCell ref="A2:G2"/>
    <mergeCell ref="A3:G3"/>
    <mergeCell ref="A6:A8"/>
    <mergeCell ref="B6:B8"/>
    <mergeCell ref="C6:C8"/>
    <mergeCell ref="D6:F6"/>
    <mergeCell ref="G6:G8"/>
    <mergeCell ref="F7:F8"/>
  </mergeCells>
  <pageMargins left="0.44" right="0.36" top="0.46" bottom="0.12" header="0.31496062992125984" footer="0.13"/>
  <pageSetup paperSize="14" scale="6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5D5A7-02E9-465E-B77A-349A70C5F31D}">
  <dimension ref="A1:J999"/>
  <sheetViews>
    <sheetView topLeftCell="A52" workbookViewId="0">
      <selection activeCell="A98" sqref="A98:G98"/>
    </sheetView>
  </sheetViews>
  <sheetFormatPr defaultColWidth="8.85546875" defaultRowHeight="15"/>
  <cols>
    <col min="1" max="1" width="50" style="314" customWidth="1"/>
    <col min="2" max="2" width="15.140625" style="314" customWidth="1"/>
    <col min="3" max="6" width="16.5703125" style="314" customWidth="1"/>
    <col min="7" max="7" width="17.7109375" style="314" customWidth="1"/>
    <col min="8" max="8" width="8.85546875" style="314"/>
    <col min="9" max="10" width="14.42578125" style="314" bestFit="1" customWidth="1"/>
    <col min="11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5" t="s">
        <v>582</v>
      </c>
      <c r="B5" s="315"/>
      <c r="C5" s="315"/>
      <c r="D5" s="396"/>
      <c r="E5" s="315"/>
      <c r="F5" s="315"/>
      <c r="G5" s="315"/>
    </row>
    <row r="6" spans="1:7" ht="16.899999999999999" customHeight="1" thickTop="1" thickBot="1">
      <c r="A6" s="1228" t="s">
        <v>16</v>
      </c>
      <c r="B6" s="1228" t="s">
        <v>583</v>
      </c>
      <c r="C6" s="1230" t="s">
        <v>584</v>
      </c>
      <c r="D6" s="1231" t="s">
        <v>574</v>
      </c>
      <c r="E6" s="1242"/>
      <c r="F6" s="1243"/>
      <c r="G6" s="1230" t="s">
        <v>585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6"/>
      <c r="C10" s="326"/>
      <c r="D10" s="326"/>
      <c r="E10" s="326"/>
      <c r="F10" s="380"/>
      <c r="G10" s="327"/>
    </row>
    <row r="11" spans="1:7" ht="18">
      <c r="A11" s="328" t="s">
        <v>34</v>
      </c>
      <c r="B11" s="748"/>
      <c r="C11" s="330"/>
      <c r="D11" s="330"/>
      <c r="E11" s="330"/>
      <c r="F11" s="381"/>
      <c r="G11" s="332"/>
    </row>
    <row r="12" spans="1:7" ht="18">
      <c r="A12" s="333" t="s">
        <v>35</v>
      </c>
      <c r="B12" s="335"/>
      <c r="C12" s="335"/>
      <c r="D12" s="335"/>
      <c r="E12" s="335"/>
      <c r="F12" s="383"/>
      <c r="G12" s="337"/>
    </row>
    <row r="13" spans="1:7" ht="18">
      <c r="A13" s="338" t="s">
        <v>36</v>
      </c>
      <c r="B13" s="425" t="s">
        <v>37</v>
      </c>
      <c r="C13" s="36">
        <v>2712297</v>
      </c>
      <c r="D13" s="36">
        <v>1311244</v>
      </c>
      <c r="E13" s="36">
        <f t="shared" ref="E13:E14" si="0">F13-D13</f>
        <v>3097076</v>
      </c>
      <c r="F13" s="37">
        <v>4408320</v>
      </c>
      <c r="G13" s="37">
        <v>4694760</v>
      </c>
    </row>
    <row r="14" spans="1:7" ht="18">
      <c r="A14" s="338" t="s">
        <v>216</v>
      </c>
      <c r="B14" s="425" t="s">
        <v>39</v>
      </c>
      <c r="C14" s="36">
        <v>934818</v>
      </c>
      <c r="D14" s="36">
        <v>466817.8</v>
      </c>
      <c r="E14" s="36">
        <f t="shared" si="0"/>
        <v>469182.2</v>
      </c>
      <c r="F14" s="37">
        <v>936000</v>
      </c>
      <c r="G14" s="37">
        <v>990090</v>
      </c>
    </row>
    <row r="15" spans="1:7" ht="18">
      <c r="A15" s="333" t="s">
        <v>40</v>
      </c>
      <c r="B15" s="435"/>
      <c r="C15" s="36"/>
      <c r="D15" s="36"/>
      <c r="E15" s="36"/>
      <c r="F15" s="37"/>
      <c r="G15" s="37"/>
    </row>
    <row r="16" spans="1:7" ht="18">
      <c r="A16" s="338" t="s">
        <v>41</v>
      </c>
      <c r="B16" s="425" t="s">
        <v>42</v>
      </c>
      <c r="C16" s="36">
        <v>326818.2</v>
      </c>
      <c r="D16" s="36">
        <v>157818.22</v>
      </c>
      <c r="E16" s="36">
        <f t="shared" ref="E16:E19" si="1">F16-D16</f>
        <v>298181.78000000003</v>
      </c>
      <c r="F16" s="37">
        <v>456000</v>
      </c>
      <c r="G16" s="37">
        <v>456000</v>
      </c>
    </row>
    <row r="17" spans="1:10" ht="18">
      <c r="A17" s="338" t="s">
        <v>43</v>
      </c>
      <c r="B17" s="425" t="s">
        <v>44</v>
      </c>
      <c r="C17" s="36">
        <v>90000</v>
      </c>
      <c r="D17" s="36">
        <v>45000</v>
      </c>
      <c r="E17" s="36">
        <f t="shared" si="1"/>
        <v>45000</v>
      </c>
      <c r="F17" s="37">
        <v>90000</v>
      </c>
      <c r="G17" s="37">
        <v>102000</v>
      </c>
    </row>
    <row r="18" spans="1:10" ht="18">
      <c r="A18" s="338" t="s">
        <v>45</v>
      </c>
      <c r="B18" s="425" t="s">
        <v>46</v>
      </c>
      <c r="C18" s="36">
        <v>90000</v>
      </c>
      <c r="D18" s="36">
        <v>45000</v>
      </c>
      <c r="E18" s="36">
        <f t="shared" si="1"/>
        <v>45000</v>
      </c>
      <c r="F18" s="37">
        <v>90000</v>
      </c>
      <c r="G18" s="37">
        <v>102000</v>
      </c>
    </row>
    <row r="19" spans="1:10" ht="18">
      <c r="A19" s="338" t="s">
        <v>47</v>
      </c>
      <c r="B19" s="425" t="s">
        <v>48</v>
      </c>
      <c r="C19" s="36">
        <v>84000</v>
      </c>
      <c r="D19" s="38">
        <v>66000</v>
      </c>
      <c r="E19" s="36">
        <f t="shared" si="1"/>
        <v>48000</v>
      </c>
      <c r="F19" s="37">
        <v>114000</v>
      </c>
      <c r="G19" s="37">
        <v>133000</v>
      </c>
    </row>
    <row r="20" spans="1:10" ht="18">
      <c r="A20" s="338" t="s">
        <v>49</v>
      </c>
      <c r="B20" s="339" t="s">
        <v>50</v>
      </c>
      <c r="C20" s="38">
        <v>70000</v>
      </c>
      <c r="D20" s="38">
        <v>0</v>
      </c>
      <c r="E20" s="38">
        <v>95000</v>
      </c>
      <c r="F20" s="37">
        <v>95000</v>
      </c>
      <c r="G20" s="37">
        <v>95000</v>
      </c>
    </row>
    <row r="21" spans="1:10" ht="18">
      <c r="A21" s="338" t="s">
        <v>53</v>
      </c>
      <c r="B21" s="425" t="s">
        <v>54</v>
      </c>
      <c r="C21" s="36">
        <v>309529</v>
      </c>
      <c r="D21" s="38">
        <v>0</v>
      </c>
      <c r="E21" s="36">
        <f t="shared" ref="E21:E23" si="2">F21-D21</f>
        <v>445360</v>
      </c>
      <c r="F21" s="37">
        <v>445360</v>
      </c>
      <c r="G21" s="37">
        <v>485424</v>
      </c>
    </row>
    <row r="22" spans="1:10" ht="18">
      <c r="A22" s="338" t="s">
        <v>55</v>
      </c>
      <c r="B22" s="425" t="s">
        <v>56</v>
      </c>
      <c r="C22" s="36">
        <v>70000</v>
      </c>
      <c r="D22" s="38">
        <v>0</v>
      </c>
      <c r="E22" s="36">
        <f t="shared" si="2"/>
        <v>95000</v>
      </c>
      <c r="F22" s="37">
        <v>95000</v>
      </c>
      <c r="G22" s="37">
        <v>95000</v>
      </c>
    </row>
    <row r="23" spans="1:10" ht="18">
      <c r="A23" s="338" t="s">
        <v>57</v>
      </c>
      <c r="B23" s="425" t="s">
        <v>58</v>
      </c>
      <c r="C23" s="36">
        <v>281851</v>
      </c>
      <c r="D23" s="36">
        <v>293943</v>
      </c>
      <c r="E23" s="36">
        <f t="shared" si="2"/>
        <v>151417</v>
      </c>
      <c r="F23" s="37">
        <v>445360</v>
      </c>
      <c r="G23" s="37">
        <v>465390</v>
      </c>
    </row>
    <row r="24" spans="1:10" ht="18">
      <c r="A24" s="338" t="s">
        <v>557</v>
      </c>
      <c r="B24" s="425" t="s">
        <v>58</v>
      </c>
      <c r="C24" s="38">
        <v>0</v>
      </c>
      <c r="D24" s="38">
        <v>0</v>
      </c>
      <c r="E24" s="38">
        <v>0</v>
      </c>
      <c r="F24" s="83">
        <v>0</v>
      </c>
      <c r="G24" s="37">
        <v>133000</v>
      </c>
    </row>
    <row r="25" spans="1:10" ht="18">
      <c r="A25" s="333" t="s">
        <v>59</v>
      </c>
      <c r="B25" s="435"/>
      <c r="C25" s="146"/>
      <c r="D25" s="36"/>
      <c r="E25" s="36"/>
      <c r="F25" s="37"/>
      <c r="G25" s="37"/>
    </row>
    <row r="26" spans="1:10" ht="18">
      <c r="A26" s="338" t="s">
        <v>60</v>
      </c>
      <c r="B26" s="425" t="s">
        <v>61</v>
      </c>
      <c r="C26" s="36">
        <v>437720.05</v>
      </c>
      <c r="D26" s="36">
        <v>213307.98</v>
      </c>
      <c r="E26" s="36">
        <f t="shared" ref="E26:E29" si="3">F26-D26</f>
        <v>428010.42000000004</v>
      </c>
      <c r="F26" s="37">
        <v>641318.40000000002</v>
      </c>
      <c r="G26" s="37">
        <v>682182</v>
      </c>
    </row>
    <row r="27" spans="1:10" ht="18">
      <c r="A27" s="338" t="s">
        <v>62</v>
      </c>
      <c r="B27" s="425" t="s">
        <v>63</v>
      </c>
      <c r="C27" s="36">
        <v>16400</v>
      </c>
      <c r="D27" s="36">
        <v>14400</v>
      </c>
      <c r="E27" s="36">
        <f t="shared" si="3"/>
        <v>8400</v>
      </c>
      <c r="F27" s="37">
        <v>22800</v>
      </c>
      <c r="G27" s="37">
        <v>45600</v>
      </c>
      <c r="J27" s="769"/>
    </row>
    <row r="28" spans="1:10" ht="18">
      <c r="A28" s="338" t="s">
        <v>64</v>
      </c>
      <c r="B28" s="425" t="s">
        <v>65</v>
      </c>
      <c r="C28" s="36">
        <v>70576.800000000003</v>
      </c>
      <c r="D28" s="36">
        <v>47462.14</v>
      </c>
      <c r="E28" s="36">
        <f t="shared" si="3"/>
        <v>72764.06</v>
      </c>
      <c r="F28" s="37">
        <v>120226.2</v>
      </c>
      <c r="G28" s="37">
        <v>143375.03</v>
      </c>
    </row>
    <row r="29" spans="1:10" ht="18">
      <c r="A29" s="338" t="s">
        <v>66</v>
      </c>
      <c r="B29" s="425" t="s">
        <v>67</v>
      </c>
      <c r="C29" s="36">
        <v>16400</v>
      </c>
      <c r="D29" s="36">
        <v>7900</v>
      </c>
      <c r="E29" s="36">
        <f t="shared" si="3"/>
        <v>14900</v>
      </c>
      <c r="F29" s="37">
        <v>22800</v>
      </c>
      <c r="G29" s="123">
        <v>22800</v>
      </c>
    </row>
    <row r="30" spans="1:10" ht="18">
      <c r="A30" s="333" t="s">
        <v>68</v>
      </c>
      <c r="B30" s="425"/>
      <c r="C30" s="36"/>
      <c r="D30" s="36"/>
      <c r="E30" s="36"/>
      <c r="F30" s="37"/>
      <c r="G30" s="121"/>
    </row>
    <row r="31" spans="1:10" ht="18.75" thickBot="1">
      <c r="A31" s="338" t="s">
        <v>558</v>
      </c>
      <c r="B31" s="425" t="s">
        <v>520</v>
      </c>
      <c r="C31" s="38">
        <v>0</v>
      </c>
      <c r="D31" s="38">
        <v>0</v>
      </c>
      <c r="E31" s="38">
        <v>0</v>
      </c>
      <c r="F31" s="83">
        <v>0</v>
      </c>
      <c r="G31" s="49">
        <v>228306.89</v>
      </c>
    </row>
    <row r="32" spans="1:10" ht="19.5" thickTop="1" thickBot="1">
      <c r="A32" s="351" t="s">
        <v>71</v>
      </c>
      <c r="B32" s="352"/>
      <c r="C32" s="75">
        <f t="shared" ref="C32:F32" si="4">SUM(C13:C29)</f>
        <v>5510410.0499999998</v>
      </c>
      <c r="D32" s="75">
        <f t="shared" si="4"/>
        <v>2668893.14</v>
      </c>
      <c r="E32" s="75">
        <f t="shared" si="4"/>
        <v>5313291.46</v>
      </c>
      <c r="F32" s="75">
        <f t="shared" si="4"/>
        <v>7982184.6000000006</v>
      </c>
      <c r="G32" s="77">
        <f>SUM(G13:G31)</f>
        <v>8873927.9199999999</v>
      </c>
    </row>
    <row r="33" spans="1:7" ht="18.75" thickTop="1">
      <c r="A33" s="355" t="s">
        <v>72</v>
      </c>
      <c r="B33" s="356"/>
      <c r="C33" s="427"/>
      <c r="D33" s="427"/>
      <c r="E33" s="427"/>
      <c r="F33" s="547"/>
      <c r="G33" s="327"/>
    </row>
    <row r="34" spans="1:7" ht="18">
      <c r="A34" s="338" t="s">
        <v>75</v>
      </c>
      <c r="B34" s="356" t="s">
        <v>76</v>
      </c>
      <c r="C34" s="38">
        <v>237600</v>
      </c>
      <c r="D34" s="38">
        <v>0</v>
      </c>
      <c r="E34" s="36">
        <f t="shared" ref="E34:E46" si="5">F34-D34</f>
        <v>150000</v>
      </c>
      <c r="F34" s="37">
        <v>150000</v>
      </c>
      <c r="G34" s="37">
        <v>55000</v>
      </c>
    </row>
    <row r="35" spans="1:7" ht="18">
      <c r="A35" s="359" t="s">
        <v>77</v>
      </c>
      <c r="B35" s="360" t="s">
        <v>78</v>
      </c>
      <c r="C35" s="38">
        <v>266321.7</v>
      </c>
      <c r="D35" s="38">
        <v>0</v>
      </c>
      <c r="E35" s="36">
        <f t="shared" si="5"/>
        <v>300000</v>
      </c>
      <c r="F35" s="92">
        <v>300000</v>
      </c>
      <c r="G35" s="92">
        <v>200000</v>
      </c>
    </row>
    <row r="36" spans="1:7" ht="18">
      <c r="A36" s="338" t="s">
        <v>79</v>
      </c>
      <c r="B36" s="339" t="s">
        <v>80</v>
      </c>
      <c r="C36" s="38">
        <v>468763.7</v>
      </c>
      <c r="D36" s="36">
        <v>49580.75</v>
      </c>
      <c r="E36" s="36">
        <f t="shared" si="5"/>
        <v>50419.25</v>
      </c>
      <c r="F36" s="37">
        <v>100000</v>
      </c>
      <c r="G36" s="37">
        <v>100000</v>
      </c>
    </row>
    <row r="37" spans="1:7" ht="18">
      <c r="A37" s="338" t="s">
        <v>329</v>
      </c>
      <c r="B37" s="356" t="s">
        <v>330</v>
      </c>
      <c r="C37" s="36">
        <v>542155</v>
      </c>
      <c r="D37" s="38">
        <v>303981.5</v>
      </c>
      <c r="E37" s="36">
        <f t="shared" si="5"/>
        <v>346018.5</v>
      </c>
      <c r="F37" s="37">
        <v>650000</v>
      </c>
      <c r="G37" s="37">
        <v>400000</v>
      </c>
    </row>
    <row r="38" spans="1:7" ht="18">
      <c r="A38" s="338" t="s">
        <v>81</v>
      </c>
      <c r="B38" s="356" t="s">
        <v>82</v>
      </c>
      <c r="C38" s="36">
        <v>6400000</v>
      </c>
      <c r="D38" s="38">
        <v>0</v>
      </c>
      <c r="E38" s="36">
        <f t="shared" si="5"/>
        <v>1000000</v>
      </c>
      <c r="F38" s="37">
        <v>1000000</v>
      </c>
      <c r="G38" s="37">
        <v>500000</v>
      </c>
    </row>
    <row r="39" spans="1:7" ht="18">
      <c r="A39" s="359" t="s">
        <v>83</v>
      </c>
      <c r="B39" s="360" t="s">
        <v>84</v>
      </c>
      <c r="C39" s="38">
        <v>60000</v>
      </c>
      <c r="D39" s="36">
        <v>30000</v>
      </c>
      <c r="E39" s="36">
        <f t="shared" si="5"/>
        <v>30000</v>
      </c>
      <c r="F39" s="37">
        <v>60000</v>
      </c>
      <c r="G39" s="37">
        <v>60000</v>
      </c>
    </row>
    <row r="40" spans="1:7" ht="18">
      <c r="A40" s="338" t="s">
        <v>331</v>
      </c>
      <c r="B40" s="356" t="s">
        <v>332</v>
      </c>
      <c r="C40" s="38">
        <v>500000</v>
      </c>
      <c r="D40" s="38">
        <v>0</v>
      </c>
      <c r="E40" s="36">
        <f t="shared" si="5"/>
        <v>500000</v>
      </c>
      <c r="F40" s="37">
        <v>500000</v>
      </c>
      <c r="G40" s="57">
        <v>0</v>
      </c>
    </row>
    <row r="41" spans="1:7" ht="18">
      <c r="A41" s="359" t="s">
        <v>333</v>
      </c>
      <c r="B41" s="360" t="s">
        <v>334</v>
      </c>
      <c r="C41" s="36">
        <v>23572000</v>
      </c>
      <c r="D41" s="36">
        <v>11979662.41</v>
      </c>
      <c r="E41" s="36">
        <f t="shared" si="5"/>
        <v>13020337.59</v>
      </c>
      <c r="F41" s="37">
        <v>25000000</v>
      </c>
      <c r="G41" s="37">
        <v>25542000</v>
      </c>
    </row>
    <row r="42" spans="1:7" ht="18">
      <c r="A42" s="338" t="s">
        <v>199</v>
      </c>
      <c r="B42" s="360" t="s">
        <v>200</v>
      </c>
      <c r="C42" s="36">
        <v>3310560</v>
      </c>
      <c r="D42" s="36">
        <v>1307778.32</v>
      </c>
      <c r="E42" s="36">
        <f t="shared" si="5"/>
        <v>2235101.6799999997</v>
      </c>
      <c r="F42" s="37">
        <v>3542880</v>
      </c>
      <c r="G42" s="37">
        <v>3746160</v>
      </c>
    </row>
    <row r="43" spans="1:7" ht="36">
      <c r="A43" s="538" t="s">
        <v>335</v>
      </c>
      <c r="B43" s="360" t="s">
        <v>336</v>
      </c>
      <c r="C43" s="38">
        <v>200000</v>
      </c>
      <c r="D43" s="38">
        <v>0</v>
      </c>
      <c r="E43" s="38">
        <v>0</v>
      </c>
      <c r="F43" s="57">
        <v>0</v>
      </c>
      <c r="G43" s="57">
        <v>0</v>
      </c>
    </row>
    <row r="44" spans="1:7" ht="36">
      <c r="A44" s="538" t="s">
        <v>240</v>
      </c>
      <c r="B44" s="360" t="s">
        <v>241</v>
      </c>
      <c r="C44" s="38">
        <v>350000</v>
      </c>
      <c r="D44" s="38">
        <v>0</v>
      </c>
      <c r="E44" s="36">
        <f t="shared" si="5"/>
        <v>50000</v>
      </c>
      <c r="F44" s="37">
        <v>50000</v>
      </c>
      <c r="G44" s="37">
        <v>20000</v>
      </c>
    </row>
    <row r="45" spans="1:7" ht="36">
      <c r="A45" s="538" t="s">
        <v>242</v>
      </c>
      <c r="B45" s="360" t="s">
        <v>243</v>
      </c>
      <c r="C45" s="38">
        <v>500000</v>
      </c>
      <c r="D45" s="38">
        <v>0</v>
      </c>
      <c r="E45" s="38">
        <v>0</v>
      </c>
      <c r="F45" s="57">
        <v>0</v>
      </c>
      <c r="G45" s="57">
        <v>0</v>
      </c>
    </row>
    <row r="46" spans="1:7" ht="18">
      <c r="A46" s="338" t="s">
        <v>100</v>
      </c>
      <c r="B46" s="339" t="s">
        <v>101</v>
      </c>
      <c r="C46" s="38">
        <v>710000</v>
      </c>
      <c r="D46" s="38">
        <v>62304</v>
      </c>
      <c r="E46" s="36">
        <f t="shared" si="5"/>
        <v>328816</v>
      </c>
      <c r="F46" s="37">
        <v>391120</v>
      </c>
      <c r="G46" s="37">
        <v>150000</v>
      </c>
    </row>
    <row r="47" spans="1:7" ht="18">
      <c r="A47" s="770" t="s">
        <v>108</v>
      </c>
      <c r="B47" s="356" t="s">
        <v>109</v>
      </c>
      <c r="C47" s="36"/>
      <c r="D47" s="36"/>
      <c r="E47" s="36"/>
      <c r="F47" s="37"/>
      <c r="G47" s="37"/>
    </row>
    <row r="48" spans="1:7" ht="18">
      <c r="A48" s="434" t="s">
        <v>337</v>
      </c>
      <c r="B48" s="356"/>
      <c r="C48" s="36">
        <v>2000000</v>
      </c>
      <c r="D48" s="38">
        <v>0</v>
      </c>
      <c r="E48" s="36">
        <f t="shared" ref="E48:E54" si="6">F48-D48</f>
        <v>2000000</v>
      </c>
      <c r="F48" s="37">
        <v>2000000</v>
      </c>
      <c r="G48" s="37">
        <v>700000</v>
      </c>
    </row>
    <row r="49" spans="1:10" ht="18">
      <c r="A49" s="434" t="s">
        <v>338</v>
      </c>
      <c r="B49" s="771"/>
      <c r="C49" s="38">
        <v>120000000</v>
      </c>
      <c r="D49" s="36">
        <v>46224872.259999998</v>
      </c>
      <c r="E49" s="36">
        <f t="shared" si="6"/>
        <v>53775127.740000002</v>
      </c>
      <c r="F49" s="147">
        <f>140000000-40000000</f>
        <v>100000000</v>
      </c>
      <c r="G49" s="37">
        <v>54625440</v>
      </c>
    </row>
    <row r="50" spans="1:10" ht="54">
      <c r="A50" s="539" t="s">
        <v>339</v>
      </c>
      <c r="B50" s="771"/>
      <c r="C50" s="38">
        <v>3100000</v>
      </c>
      <c r="D50" s="38">
        <v>0</v>
      </c>
      <c r="E50" s="36">
        <f t="shared" si="6"/>
        <v>3100000</v>
      </c>
      <c r="F50" s="37">
        <v>3100000</v>
      </c>
      <c r="G50" s="37">
        <v>3100000</v>
      </c>
    </row>
    <row r="51" spans="1:10" ht="36">
      <c r="A51" s="772" t="s">
        <v>340</v>
      </c>
      <c r="B51" s="771"/>
      <c r="C51" s="38">
        <v>3191875.6</v>
      </c>
      <c r="D51" s="38">
        <v>0</v>
      </c>
      <c r="E51" s="36">
        <f t="shared" si="6"/>
        <v>2000000</v>
      </c>
      <c r="F51" s="37">
        <v>2000000</v>
      </c>
      <c r="G51" s="37">
        <v>1000000</v>
      </c>
    </row>
    <row r="52" spans="1:10" ht="18">
      <c r="A52" s="772" t="s">
        <v>586</v>
      </c>
      <c r="B52" s="771"/>
      <c r="C52" s="38"/>
      <c r="D52" s="38">
        <v>0</v>
      </c>
      <c r="E52" s="38">
        <v>0</v>
      </c>
      <c r="F52" s="83">
        <v>0</v>
      </c>
      <c r="G52" s="37">
        <v>700000</v>
      </c>
    </row>
    <row r="53" spans="1:10" ht="36">
      <c r="A53" s="772" t="s">
        <v>341</v>
      </c>
      <c r="B53" s="771"/>
      <c r="C53" s="38">
        <v>1000000</v>
      </c>
      <c r="D53" s="38">
        <v>0</v>
      </c>
      <c r="E53" s="38">
        <v>0</v>
      </c>
      <c r="F53" s="57">
        <v>0</v>
      </c>
      <c r="G53" s="57">
        <v>0</v>
      </c>
    </row>
    <row r="54" spans="1:10" ht="18">
      <c r="A54" s="434" t="s">
        <v>342</v>
      </c>
      <c r="B54" s="771"/>
      <c r="C54" s="38">
        <v>1500000</v>
      </c>
      <c r="D54" s="38">
        <v>58285.5</v>
      </c>
      <c r="E54" s="36">
        <f t="shared" si="6"/>
        <v>941714.5</v>
      </c>
      <c r="F54" s="37">
        <v>1000000</v>
      </c>
      <c r="G54" s="57">
        <v>0</v>
      </c>
    </row>
    <row r="55" spans="1:10" ht="18.75" thickBot="1">
      <c r="A55" s="434" t="s">
        <v>587</v>
      </c>
      <c r="B55" s="356"/>
      <c r="C55" s="36">
        <v>6200000</v>
      </c>
      <c r="D55" s="38">
        <v>0</v>
      </c>
      <c r="E55" s="38">
        <v>0</v>
      </c>
      <c r="F55" s="57">
        <v>0</v>
      </c>
      <c r="G55" s="57">
        <v>0</v>
      </c>
    </row>
    <row r="56" spans="1:10" ht="19.5" thickTop="1" thickBot="1">
      <c r="A56" s="351" t="s">
        <v>162</v>
      </c>
      <c r="B56" s="367"/>
      <c r="C56" s="148">
        <f>SUM(C34:C55)</f>
        <v>174109276</v>
      </c>
      <c r="D56" s="75">
        <f>SUM(D34:D55)</f>
        <v>60016464.739999995</v>
      </c>
      <c r="E56" s="75">
        <f>SUM(E34:E55)</f>
        <v>79827535.260000005</v>
      </c>
      <c r="F56" s="148">
        <f>SUM(F34:F55)</f>
        <v>139844000</v>
      </c>
      <c r="G56" s="77">
        <f>SUM(G34:G55)</f>
        <v>90898600</v>
      </c>
      <c r="I56" s="558"/>
      <c r="J56" s="558"/>
    </row>
    <row r="57" spans="1:10" ht="19.5" thickTop="1" thickBot="1">
      <c r="A57" s="351" t="s">
        <v>181</v>
      </c>
      <c r="B57" s="367"/>
      <c r="C57" s="148">
        <f>C56+C32</f>
        <v>179619686.05000001</v>
      </c>
      <c r="D57" s="75">
        <f>D56+D32</f>
        <v>62685357.879999995</v>
      </c>
      <c r="E57" s="75">
        <f>E56+E32</f>
        <v>85140826.719999999</v>
      </c>
      <c r="F57" s="148">
        <f>F56+F32</f>
        <v>147826184.59999999</v>
      </c>
      <c r="G57" s="77">
        <f>G56+G32</f>
        <v>99772527.920000002</v>
      </c>
      <c r="J57" s="558"/>
    </row>
    <row r="58" spans="1:10" ht="18.75" thickTop="1">
      <c r="A58" s="524"/>
      <c r="B58" s="773"/>
      <c r="C58" s="774"/>
      <c r="D58" s="774"/>
      <c r="E58" s="774"/>
      <c r="F58" s="774"/>
      <c r="G58" s="774"/>
    </row>
    <row r="59" spans="1:10" ht="18">
      <c r="A59" s="317" t="s">
        <v>183</v>
      </c>
      <c r="B59" s="317" t="s">
        <v>184</v>
      </c>
      <c r="C59" s="317"/>
      <c r="D59" s="317"/>
      <c r="E59" s="317"/>
      <c r="F59" s="317" t="s">
        <v>185</v>
      </c>
      <c r="G59" s="317"/>
    </row>
    <row r="60" spans="1:10" ht="18">
      <c r="A60" s="317"/>
      <c r="B60" s="317"/>
      <c r="C60" s="317"/>
      <c r="D60" s="317"/>
      <c r="E60" s="317"/>
      <c r="F60" s="317"/>
      <c r="G60" s="317"/>
    </row>
    <row r="61" spans="1:10" ht="18">
      <c r="A61" s="317"/>
      <c r="B61" s="317"/>
      <c r="C61" s="317"/>
      <c r="D61" s="317"/>
      <c r="E61" s="317"/>
      <c r="F61" s="317"/>
      <c r="G61" s="317"/>
    </row>
    <row r="62" spans="1:10" ht="18">
      <c r="A62" s="317"/>
      <c r="B62" s="317"/>
      <c r="C62" s="317"/>
      <c r="D62" s="317"/>
      <c r="E62" s="317"/>
      <c r="F62" s="317"/>
      <c r="G62" s="317"/>
    </row>
    <row r="63" spans="1:10" ht="18">
      <c r="A63" s="317"/>
      <c r="B63" s="317"/>
      <c r="C63" s="317"/>
      <c r="D63" s="317"/>
      <c r="E63" s="317"/>
      <c r="F63" s="317"/>
      <c r="G63" s="317"/>
    </row>
    <row r="64" spans="1:10" ht="18">
      <c r="A64" s="309" t="s">
        <v>343</v>
      </c>
      <c r="B64" s="1239" t="s">
        <v>187</v>
      </c>
      <c r="C64" s="1239"/>
      <c r="D64" s="1239"/>
      <c r="E64" s="369"/>
      <c r="F64" s="1240" t="s">
        <v>188</v>
      </c>
      <c r="G64" s="1240"/>
    </row>
    <row r="65" spans="1:7" ht="18">
      <c r="A65" s="371" t="s">
        <v>344</v>
      </c>
      <c r="B65" s="1235" t="s">
        <v>190</v>
      </c>
      <c r="C65" s="1235"/>
      <c r="D65" s="1235"/>
      <c r="E65" s="372"/>
      <c r="F65" s="1237" t="s">
        <v>191</v>
      </c>
      <c r="G65" s="123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6.5">
      <c r="A67" s="1238" t="s">
        <v>194</v>
      </c>
      <c r="B67" s="1238"/>
      <c r="C67" s="1238"/>
      <c r="D67" s="1238"/>
      <c r="E67" s="1238"/>
      <c r="F67" s="1238"/>
      <c r="G67" s="1238"/>
    </row>
    <row r="68" spans="1:7" ht="18">
      <c r="A68" s="317"/>
      <c r="B68" s="317"/>
      <c r="C68" s="317"/>
      <c r="D68" s="317"/>
      <c r="E68" s="317"/>
      <c r="F68" s="317"/>
      <c r="G68" s="317"/>
    </row>
    <row r="69" spans="1:7" ht="18">
      <c r="A69" s="317"/>
      <c r="B69" s="317"/>
      <c r="C69" s="317"/>
      <c r="D69" s="317"/>
      <c r="E69" s="317"/>
      <c r="F69" s="317"/>
      <c r="G69" s="317"/>
    </row>
    <row r="70" spans="1:7" ht="18">
      <c r="A70" s="317"/>
      <c r="B70" s="317"/>
      <c r="C70" s="317"/>
      <c r="D70" s="317"/>
      <c r="E70" s="317"/>
      <c r="F70" s="318"/>
      <c r="G70" s="318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8">
      <c r="A72" s="317"/>
      <c r="B72" s="317"/>
      <c r="C72" s="317"/>
      <c r="D72" s="317"/>
      <c r="E72" s="317"/>
      <c r="F72" s="317"/>
      <c r="G72" s="317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 ht="18">
      <c r="A249" s="317"/>
      <c r="B249" s="317"/>
      <c r="C249" s="317"/>
      <c r="D249" s="317"/>
      <c r="E249" s="317"/>
      <c r="F249" s="317"/>
      <c r="G249" s="317"/>
    </row>
    <row r="250" spans="1:7" ht="18">
      <c r="A250" s="317"/>
      <c r="B250" s="317"/>
      <c r="C250" s="317"/>
      <c r="D250" s="317"/>
      <c r="E250" s="317"/>
      <c r="F250" s="317"/>
      <c r="G250" s="317"/>
    </row>
    <row r="251" spans="1:7" ht="18">
      <c r="A251" s="317"/>
      <c r="B251" s="317"/>
      <c r="C251" s="317"/>
      <c r="D251" s="317"/>
      <c r="E251" s="317"/>
      <c r="F251" s="317"/>
      <c r="G251" s="317"/>
    </row>
    <row r="252" spans="1:7" ht="18">
      <c r="A252" s="317"/>
      <c r="B252" s="317"/>
      <c r="C252" s="317"/>
      <c r="D252" s="317"/>
      <c r="E252" s="317"/>
      <c r="F252" s="317"/>
      <c r="G252" s="317"/>
    </row>
    <row r="253" spans="1:7" ht="18">
      <c r="A253" s="317"/>
      <c r="B253" s="317"/>
      <c r="C253" s="317"/>
      <c r="D253" s="317"/>
      <c r="E253" s="317"/>
      <c r="F253" s="317"/>
      <c r="G253" s="317"/>
    </row>
    <row r="254" spans="1:7" ht="18">
      <c r="A254" s="317"/>
      <c r="B254" s="317"/>
      <c r="C254" s="317"/>
      <c r="D254" s="317"/>
      <c r="E254" s="317"/>
      <c r="F254" s="317"/>
      <c r="G254" s="317"/>
    </row>
    <row r="255" spans="1:7" ht="18">
      <c r="A255" s="317"/>
      <c r="B255" s="317"/>
      <c r="C255" s="317"/>
      <c r="D255" s="317"/>
      <c r="E255" s="317"/>
      <c r="F255" s="317"/>
      <c r="G255" s="317"/>
    </row>
    <row r="256" spans="1:7" ht="18">
      <c r="A256" s="317"/>
      <c r="B256" s="317"/>
      <c r="C256" s="317"/>
      <c r="D256" s="317"/>
      <c r="E256" s="317"/>
      <c r="F256" s="317"/>
      <c r="G256" s="317"/>
    </row>
    <row r="257" spans="1:7" ht="18">
      <c r="A257" s="317"/>
      <c r="B257" s="317"/>
      <c r="C257" s="317"/>
      <c r="D257" s="317"/>
      <c r="E257" s="317"/>
      <c r="F257" s="317"/>
      <c r="G257" s="317"/>
    </row>
    <row r="258" spans="1:7" ht="18">
      <c r="A258" s="317"/>
      <c r="B258" s="317"/>
      <c r="C258" s="317"/>
      <c r="D258" s="317"/>
      <c r="E258" s="317"/>
      <c r="F258" s="317"/>
      <c r="G258" s="317"/>
    </row>
    <row r="259" spans="1:7" ht="18">
      <c r="A259" s="317"/>
      <c r="B259" s="317"/>
      <c r="C259" s="317"/>
      <c r="D259" s="317"/>
      <c r="E259" s="317"/>
      <c r="F259" s="317"/>
      <c r="G259" s="317"/>
    </row>
    <row r="260" spans="1:7" ht="18">
      <c r="A260" s="317"/>
      <c r="B260" s="317"/>
      <c r="C260" s="317"/>
      <c r="D260" s="317"/>
      <c r="E260" s="317"/>
      <c r="F260" s="317"/>
      <c r="G260" s="317"/>
    </row>
    <row r="261" spans="1:7" ht="18">
      <c r="A261" s="317"/>
      <c r="B261" s="317"/>
      <c r="C261" s="317"/>
      <c r="D261" s="317"/>
      <c r="E261" s="317"/>
      <c r="F261" s="317"/>
      <c r="G261" s="317"/>
    </row>
    <row r="262" spans="1:7" ht="18">
      <c r="A262" s="317"/>
      <c r="B262" s="317"/>
      <c r="C262" s="317"/>
      <c r="D262" s="317"/>
      <c r="E262" s="317"/>
      <c r="F262" s="317"/>
      <c r="G262" s="317"/>
    </row>
    <row r="263" spans="1:7" ht="18">
      <c r="A263" s="317"/>
      <c r="B263" s="317"/>
      <c r="C263" s="317"/>
      <c r="D263" s="317"/>
      <c r="E263" s="317"/>
      <c r="F263" s="317"/>
      <c r="G263" s="317"/>
    </row>
    <row r="264" spans="1:7" ht="18">
      <c r="A264" s="317"/>
      <c r="B264" s="317"/>
      <c r="C264" s="317"/>
      <c r="D264" s="317"/>
      <c r="E264" s="317"/>
      <c r="F264" s="317"/>
      <c r="G264" s="31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  <row r="994" spans="1:7">
      <c r="A994" s="377"/>
      <c r="B994" s="377"/>
      <c r="C994" s="377"/>
      <c r="D994" s="377"/>
      <c r="E994" s="377"/>
      <c r="F994" s="377"/>
      <c r="G994" s="377"/>
    </row>
    <row r="995" spans="1:7">
      <c r="A995" s="377"/>
      <c r="B995" s="377"/>
      <c r="C995" s="377"/>
      <c r="D995" s="377"/>
      <c r="E995" s="377"/>
      <c r="F995" s="377"/>
      <c r="G995" s="377"/>
    </row>
    <row r="996" spans="1:7">
      <c r="A996" s="377"/>
      <c r="B996" s="377"/>
      <c r="C996" s="377"/>
      <c r="D996" s="377"/>
      <c r="E996" s="377"/>
      <c r="F996" s="377"/>
      <c r="G996" s="377"/>
    </row>
    <row r="997" spans="1:7">
      <c r="A997" s="377"/>
      <c r="B997" s="377"/>
      <c r="C997" s="377"/>
      <c r="D997" s="377"/>
      <c r="E997" s="377"/>
      <c r="F997" s="377"/>
      <c r="G997" s="377"/>
    </row>
    <row r="998" spans="1:7">
      <c r="A998" s="377"/>
      <c r="B998" s="377"/>
      <c r="C998" s="377"/>
      <c r="D998" s="377"/>
      <c r="E998" s="377"/>
      <c r="F998" s="377"/>
      <c r="G998" s="377"/>
    </row>
    <row r="999" spans="1:7">
      <c r="A999" s="377"/>
      <c r="B999" s="377"/>
      <c r="C999" s="377"/>
      <c r="D999" s="377"/>
      <c r="E999" s="377"/>
      <c r="F999" s="377"/>
      <c r="G999" s="377"/>
    </row>
  </sheetData>
  <sheetProtection algorithmName="SHA-512" hashValue="lLnqLkjFS0OjSPKZFRUg2x1L9isGxiQf6cLrb3gqdHk2SiXcC3JlTYwnjmeHTFEqFHuIkTnjFiuC5LFBs1TGpQ==" saltValue="HtESS75AvXbLnkjZjsJZqA==" spinCount="100000" sheet="1" objects="1" scenarios="1"/>
  <mergeCells count="13">
    <mergeCell ref="B64:D64"/>
    <mergeCell ref="F64:G64"/>
    <mergeCell ref="B65:D65"/>
    <mergeCell ref="F65:G65"/>
    <mergeCell ref="A67:G67"/>
    <mergeCell ref="A2:G2"/>
    <mergeCell ref="A3:G3"/>
    <mergeCell ref="A6:A8"/>
    <mergeCell ref="B6:B8"/>
    <mergeCell ref="C6:C8"/>
    <mergeCell ref="D6:F6"/>
    <mergeCell ref="G6:G8"/>
    <mergeCell ref="F7:F8"/>
  </mergeCells>
  <conditionalFormatting sqref="C39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38ADD-413F-4B58-86D8-E79C7C6DB2A7}">
  <dimension ref="A1:J209"/>
  <sheetViews>
    <sheetView topLeftCell="A37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9" width="8.85546875" style="314"/>
    <col min="10" max="10" width="14" style="314" bestFit="1" customWidth="1"/>
    <col min="11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7" t="s">
        <v>345</v>
      </c>
      <c r="B5" s="315"/>
      <c r="C5" s="315"/>
      <c r="D5" s="315"/>
      <c r="E5" s="315"/>
      <c r="F5" s="315"/>
      <c r="G5" s="315"/>
    </row>
    <row r="6" spans="1:7" ht="16.5" thickTop="1" thickBot="1">
      <c r="A6" s="1228" t="s">
        <v>16</v>
      </c>
      <c r="B6" s="1228" t="s">
        <v>17</v>
      </c>
      <c r="C6" s="1230" t="s">
        <v>561</v>
      </c>
      <c r="D6" s="1231" t="s">
        <v>569</v>
      </c>
      <c r="E6" s="1242"/>
      <c r="F6" s="1243"/>
      <c r="G6" s="1228" t="s">
        <v>699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6"/>
      <c r="C10" s="326"/>
      <c r="D10" s="326"/>
      <c r="E10" s="326"/>
      <c r="F10" s="326"/>
      <c r="G10" s="380"/>
    </row>
    <row r="11" spans="1:7" ht="18">
      <c r="A11" s="328" t="s">
        <v>34</v>
      </c>
      <c r="B11" s="748"/>
      <c r="C11" s="330"/>
      <c r="D11" s="330"/>
      <c r="E11" s="330"/>
      <c r="F11" s="330"/>
      <c r="G11" s="381"/>
    </row>
    <row r="12" spans="1:7" ht="18">
      <c r="A12" s="333" t="s">
        <v>35</v>
      </c>
      <c r="B12" s="335"/>
      <c r="C12" s="335"/>
      <c r="D12" s="335"/>
      <c r="E12" s="335"/>
      <c r="F12" s="335"/>
      <c r="G12" s="383"/>
    </row>
    <row r="13" spans="1:7" ht="18">
      <c r="A13" s="338" t="s">
        <v>36</v>
      </c>
      <c r="B13" s="425" t="s">
        <v>37</v>
      </c>
      <c r="C13" s="38">
        <v>771336</v>
      </c>
      <c r="D13" s="38">
        <v>385668</v>
      </c>
      <c r="E13" s="38">
        <f>F13-D13</f>
        <v>829608</v>
      </c>
      <c r="F13" s="57">
        <v>1215276</v>
      </c>
      <c r="G13" s="57">
        <v>1296021</v>
      </c>
    </row>
    <row r="14" spans="1:7" ht="18" hidden="1">
      <c r="A14" s="338" t="s">
        <v>38</v>
      </c>
      <c r="B14" s="425" t="s">
        <v>39</v>
      </c>
      <c r="C14" s="38">
        <v>0</v>
      </c>
      <c r="D14" s="38">
        <v>0</v>
      </c>
      <c r="E14" s="38">
        <v>0</v>
      </c>
      <c r="F14" s="57">
        <v>0</v>
      </c>
      <c r="G14" s="57">
        <v>0</v>
      </c>
    </row>
    <row r="15" spans="1:7" ht="18">
      <c r="A15" s="333" t="s">
        <v>40</v>
      </c>
      <c r="B15" s="435"/>
      <c r="C15" s="38"/>
      <c r="D15" s="38"/>
      <c r="E15" s="38"/>
      <c r="F15" s="57"/>
      <c r="G15" s="57"/>
    </row>
    <row r="16" spans="1:7" ht="18">
      <c r="A16" s="338" t="s">
        <v>41</v>
      </c>
      <c r="B16" s="425" t="s">
        <v>42</v>
      </c>
      <c r="C16" s="38">
        <v>48000</v>
      </c>
      <c r="D16" s="38">
        <v>24000</v>
      </c>
      <c r="E16" s="38">
        <f t="shared" ref="E16:E25" si="0">F16-D16</f>
        <v>72000</v>
      </c>
      <c r="F16" s="57">
        <v>96000</v>
      </c>
      <c r="G16" s="57">
        <v>96000</v>
      </c>
    </row>
    <row r="17" spans="1:7" ht="18" hidden="1">
      <c r="A17" s="338" t="s">
        <v>43</v>
      </c>
      <c r="B17" s="425" t="s">
        <v>44</v>
      </c>
      <c r="C17" s="38">
        <v>0</v>
      </c>
      <c r="D17" s="38">
        <v>0</v>
      </c>
      <c r="E17" s="38">
        <f t="shared" si="0"/>
        <v>0</v>
      </c>
      <c r="F17" s="57">
        <v>0</v>
      </c>
      <c r="G17" s="57">
        <v>0</v>
      </c>
    </row>
    <row r="18" spans="1:7" ht="18" hidden="1">
      <c r="A18" s="338" t="s">
        <v>45</v>
      </c>
      <c r="B18" s="425" t="s">
        <v>46</v>
      </c>
      <c r="C18" s="38">
        <v>0</v>
      </c>
      <c r="D18" s="38">
        <v>0</v>
      </c>
      <c r="E18" s="38">
        <f t="shared" si="0"/>
        <v>0</v>
      </c>
      <c r="F18" s="57">
        <v>0</v>
      </c>
      <c r="G18" s="57">
        <v>0</v>
      </c>
    </row>
    <row r="19" spans="1:7" ht="18">
      <c r="A19" s="338" t="s">
        <v>47</v>
      </c>
      <c r="B19" s="425" t="s">
        <v>48</v>
      </c>
      <c r="C19" s="38">
        <v>12000</v>
      </c>
      <c r="D19" s="38">
        <v>12000</v>
      </c>
      <c r="E19" s="38">
        <f t="shared" si="0"/>
        <v>12000</v>
      </c>
      <c r="F19" s="57">
        <v>24000</v>
      </c>
      <c r="G19" s="57">
        <v>28000</v>
      </c>
    </row>
    <row r="20" spans="1:7" ht="18">
      <c r="A20" s="338" t="s">
        <v>49</v>
      </c>
      <c r="B20" s="339" t="s">
        <v>50</v>
      </c>
      <c r="C20" s="38">
        <v>10000</v>
      </c>
      <c r="D20" s="38">
        <v>0</v>
      </c>
      <c r="E20" s="38">
        <f t="shared" si="0"/>
        <v>20000</v>
      </c>
      <c r="F20" s="57">
        <f>5000*4</f>
        <v>20000</v>
      </c>
      <c r="G20" s="57">
        <f>5000*4</f>
        <v>20000</v>
      </c>
    </row>
    <row r="21" spans="1:7" ht="18" hidden="1">
      <c r="A21" s="338" t="s">
        <v>51</v>
      </c>
      <c r="B21" s="339" t="s">
        <v>52</v>
      </c>
      <c r="C21" s="38">
        <v>0</v>
      </c>
      <c r="D21" s="38">
        <v>0</v>
      </c>
      <c r="E21" s="38">
        <f t="shared" si="0"/>
        <v>0</v>
      </c>
      <c r="F21" s="57">
        <v>0</v>
      </c>
      <c r="G21" s="57">
        <v>0</v>
      </c>
    </row>
    <row r="22" spans="1:7" ht="18">
      <c r="A22" s="338" t="s">
        <v>53</v>
      </c>
      <c r="B22" s="425" t="s">
        <v>54</v>
      </c>
      <c r="C22" s="38">
        <v>64278</v>
      </c>
      <c r="D22" s="38">
        <v>0</v>
      </c>
      <c r="E22" s="38">
        <f t="shared" si="0"/>
        <v>101273</v>
      </c>
      <c r="F22" s="57">
        <v>101273</v>
      </c>
      <c r="G22" s="57">
        <v>112680</v>
      </c>
    </row>
    <row r="23" spans="1:7" ht="18">
      <c r="A23" s="338" t="s">
        <v>55</v>
      </c>
      <c r="B23" s="425" t="s">
        <v>56</v>
      </c>
      <c r="C23" s="38">
        <v>10000</v>
      </c>
      <c r="D23" s="38">
        <v>0</v>
      </c>
      <c r="E23" s="38">
        <f t="shared" si="0"/>
        <v>20000</v>
      </c>
      <c r="F23" s="57">
        <f>5000*4</f>
        <v>20000</v>
      </c>
      <c r="G23" s="57">
        <f>5000*4</f>
        <v>20000</v>
      </c>
    </row>
    <row r="24" spans="1:7" ht="18">
      <c r="A24" s="338" t="s">
        <v>57</v>
      </c>
      <c r="B24" s="425" t="s">
        <v>58</v>
      </c>
      <c r="C24" s="38">
        <v>64278</v>
      </c>
      <c r="D24" s="38">
        <v>64278</v>
      </c>
      <c r="E24" s="38">
        <f t="shared" si="0"/>
        <v>36995</v>
      </c>
      <c r="F24" s="57">
        <v>101273</v>
      </c>
      <c r="G24" s="57">
        <v>107860</v>
      </c>
    </row>
    <row r="25" spans="1:7" ht="18">
      <c r="A25" s="338" t="s">
        <v>557</v>
      </c>
      <c r="B25" s="425" t="s">
        <v>58</v>
      </c>
      <c r="C25" s="38">
        <v>0</v>
      </c>
      <c r="D25" s="38">
        <v>0</v>
      </c>
      <c r="E25" s="38">
        <f t="shared" si="0"/>
        <v>0</v>
      </c>
      <c r="F25" s="57">
        <v>0</v>
      </c>
      <c r="G25" s="57">
        <v>28000</v>
      </c>
    </row>
    <row r="26" spans="1:7" ht="18">
      <c r="A26" s="333" t="s">
        <v>59</v>
      </c>
      <c r="B26" s="435"/>
      <c r="C26" s="38"/>
      <c r="D26" s="38"/>
      <c r="E26" s="38"/>
      <c r="F26" s="57"/>
      <c r="G26" s="57"/>
    </row>
    <row r="27" spans="1:7" ht="18">
      <c r="A27" s="338" t="s">
        <v>60</v>
      </c>
      <c r="B27" s="425" t="s">
        <v>61</v>
      </c>
      <c r="C27" s="38">
        <v>92560.320000000007</v>
      </c>
      <c r="D27" s="38">
        <v>46280.160000000003</v>
      </c>
      <c r="E27" s="38">
        <f t="shared" ref="E27:E30" si="1">F27-D27</f>
        <v>99552.959999999992</v>
      </c>
      <c r="F27" s="775">
        <v>145833.12</v>
      </c>
      <c r="G27" s="775">
        <v>155522.51999999999</v>
      </c>
    </row>
    <row r="28" spans="1:7" ht="18">
      <c r="A28" s="338" t="s">
        <v>62</v>
      </c>
      <c r="B28" s="425" t="s">
        <v>63</v>
      </c>
      <c r="C28" s="38">
        <v>2400</v>
      </c>
      <c r="D28" s="38">
        <v>2200</v>
      </c>
      <c r="E28" s="38">
        <f t="shared" si="1"/>
        <v>2600</v>
      </c>
      <c r="F28" s="57">
        <v>4800</v>
      </c>
      <c r="G28" s="57">
        <v>9600</v>
      </c>
    </row>
    <row r="29" spans="1:7" ht="18">
      <c r="A29" s="338" t="s">
        <v>64</v>
      </c>
      <c r="B29" s="425" t="s">
        <v>65</v>
      </c>
      <c r="C29" s="38">
        <v>15426.72</v>
      </c>
      <c r="D29" s="38">
        <v>10284.52</v>
      </c>
      <c r="E29" s="38">
        <f t="shared" si="1"/>
        <v>17059.16</v>
      </c>
      <c r="F29" s="775">
        <v>27343.68</v>
      </c>
      <c r="G29" s="775">
        <v>32400.53</v>
      </c>
    </row>
    <row r="30" spans="1:7" ht="18">
      <c r="A30" s="341" t="s">
        <v>66</v>
      </c>
      <c r="B30" s="749" t="s">
        <v>67</v>
      </c>
      <c r="C30" s="97">
        <v>2400</v>
      </c>
      <c r="D30" s="97">
        <v>1200</v>
      </c>
      <c r="E30" s="38">
        <f t="shared" si="1"/>
        <v>3600</v>
      </c>
      <c r="F30" s="99">
        <v>4800</v>
      </c>
      <c r="G30" s="99">
        <v>4800</v>
      </c>
    </row>
    <row r="31" spans="1:7" ht="18">
      <c r="A31" s="333" t="s">
        <v>68</v>
      </c>
      <c r="B31" s="425"/>
      <c r="C31" s="38"/>
      <c r="D31" s="38"/>
      <c r="E31" s="38"/>
      <c r="F31" s="57"/>
      <c r="G31" s="57"/>
    </row>
    <row r="32" spans="1:7" ht="18.75" thickBot="1">
      <c r="A32" s="426" t="s">
        <v>558</v>
      </c>
      <c r="B32" s="347" t="s">
        <v>520</v>
      </c>
      <c r="C32" s="348">
        <v>0</v>
      </c>
      <c r="D32" s="348">
        <v>0</v>
      </c>
      <c r="E32" s="38">
        <f>F32-D32</f>
        <v>0</v>
      </c>
      <c r="F32" s="776"/>
      <c r="G32" s="746">
        <v>52048.959999999999</v>
      </c>
    </row>
    <row r="33" spans="1:10" ht="19.5" thickTop="1" thickBot="1">
      <c r="A33" s="351" t="s">
        <v>71</v>
      </c>
      <c r="B33" s="352"/>
      <c r="C33" s="112">
        <f>SUM(C13:C30)</f>
        <v>1092679.04</v>
      </c>
      <c r="D33" s="112">
        <f>SUM(D13:D30)</f>
        <v>545910.68000000005</v>
      </c>
      <c r="E33" s="112">
        <f>SUM(E13:E30)</f>
        <v>1214688.1199999999</v>
      </c>
      <c r="F33" s="112">
        <f>SUM(F13:F30)</f>
        <v>1760598.8</v>
      </c>
      <c r="G33" s="354">
        <f>SUM(G13:G32)</f>
        <v>1962933.01</v>
      </c>
      <c r="J33" s="544"/>
    </row>
    <row r="34" spans="1:10" ht="18.75" thickTop="1">
      <c r="A34" s="355" t="s">
        <v>72</v>
      </c>
      <c r="B34" s="356"/>
      <c r="C34" s="91"/>
      <c r="D34" s="91"/>
      <c r="E34" s="91"/>
      <c r="F34" s="777"/>
      <c r="G34" s="271"/>
    </row>
    <row r="35" spans="1:10" ht="18">
      <c r="A35" s="359" t="s">
        <v>77</v>
      </c>
      <c r="B35" s="360" t="s">
        <v>78</v>
      </c>
      <c r="C35" s="38">
        <v>0</v>
      </c>
      <c r="D35" s="38">
        <v>69257.25</v>
      </c>
      <c r="E35" s="38">
        <f t="shared" ref="E35:E37" si="2">F35-D35</f>
        <v>870742.75</v>
      </c>
      <c r="F35" s="57">
        <v>940000</v>
      </c>
      <c r="G35" s="57">
        <v>720000.3</v>
      </c>
    </row>
    <row r="36" spans="1:10" ht="18">
      <c r="A36" s="359" t="s">
        <v>346</v>
      </c>
      <c r="B36" s="360" t="s">
        <v>82</v>
      </c>
      <c r="C36" s="38">
        <v>0</v>
      </c>
      <c r="D36" s="38">
        <v>0</v>
      </c>
      <c r="E36" s="38">
        <f t="shared" si="2"/>
        <v>500000</v>
      </c>
      <c r="F36" s="57">
        <v>500000</v>
      </c>
      <c r="G36" s="57">
        <v>400000</v>
      </c>
    </row>
    <row r="37" spans="1:10" ht="18.75" thickBot="1">
      <c r="A37" s="359" t="s">
        <v>83</v>
      </c>
      <c r="B37" s="360" t="s">
        <v>84</v>
      </c>
      <c r="C37" s="38">
        <v>0</v>
      </c>
      <c r="D37" s="38">
        <v>30000</v>
      </c>
      <c r="E37" s="38">
        <f t="shared" si="2"/>
        <v>30000</v>
      </c>
      <c r="F37" s="57">
        <v>60000</v>
      </c>
      <c r="G37" s="57">
        <v>60000</v>
      </c>
    </row>
    <row r="38" spans="1:10" ht="19.5" thickTop="1" thickBot="1">
      <c r="A38" s="351" t="s">
        <v>162</v>
      </c>
      <c r="B38" s="367"/>
      <c r="C38" s="112">
        <f>SUM(C35:C37)</f>
        <v>0</v>
      </c>
      <c r="D38" s="112">
        <f>SUM(D35:D37)</f>
        <v>99257.25</v>
      </c>
      <c r="E38" s="112">
        <f>SUM(E35:E37)</f>
        <v>1400742.75</v>
      </c>
      <c r="F38" s="112">
        <f>SUM(F35:F37)</f>
        <v>1500000</v>
      </c>
      <c r="G38" s="354">
        <f>SUM(G35:G37)</f>
        <v>1180000.3</v>
      </c>
    </row>
    <row r="39" spans="1:10" ht="18.75" thickTop="1">
      <c r="A39" s="355" t="s">
        <v>163</v>
      </c>
      <c r="B39" s="404"/>
      <c r="C39" s="778"/>
      <c r="D39" s="778"/>
      <c r="E39" s="778"/>
      <c r="F39" s="779"/>
      <c r="G39" s="780"/>
    </row>
    <row r="40" spans="1:10" ht="18">
      <c r="A40" s="534" t="s">
        <v>167</v>
      </c>
      <c r="B40" s="391" t="s">
        <v>168</v>
      </c>
      <c r="C40" s="38">
        <v>0</v>
      </c>
      <c r="D40" s="38">
        <v>0</v>
      </c>
      <c r="E40" s="38">
        <f t="shared" ref="E40:E41" si="3">F40-D40</f>
        <v>200000</v>
      </c>
      <c r="F40" s="781">
        <v>200000</v>
      </c>
      <c r="G40" s="782">
        <v>0</v>
      </c>
    </row>
    <row r="41" spans="1:10" ht="36.75" thickBot="1">
      <c r="A41" s="783" t="s">
        <v>205</v>
      </c>
      <c r="B41" s="784" t="s">
        <v>206</v>
      </c>
      <c r="C41" s="38">
        <v>0</v>
      </c>
      <c r="D41" s="38">
        <v>0</v>
      </c>
      <c r="E41" s="38">
        <f t="shared" si="3"/>
        <v>250000</v>
      </c>
      <c r="F41" s="785">
        <v>250000</v>
      </c>
      <c r="G41" s="786">
        <v>250000</v>
      </c>
    </row>
    <row r="42" spans="1:10" ht="19.5" thickTop="1" thickBot="1">
      <c r="A42" s="787" t="s">
        <v>171</v>
      </c>
      <c r="B42" s="788"/>
      <c r="C42" s="354">
        <f t="shared" ref="C42:F42" si="4">SUM(C40:C41)</f>
        <v>0</v>
      </c>
      <c r="D42" s="354">
        <f t="shared" si="4"/>
        <v>0</v>
      </c>
      <c r="E42" s="354">
        <f t="shared" si="4"/>
        <v>450000</v>
      </c>
      <c r="F42" s="354">
        <f t="shared" si="4"/>
        <v>450000</v>
      </c>
      <c r="G42" s="354">
        <f>SUM(G40:G41)</f>
        <v>250000</v>
      </c>
    </row>
    <row r="43" spans="1:10" ht="18.75" thickTop="1">
      <c r="A43" s="403"/>
      <c r="B43" s="789"/>
      <c r="C43" s="790"/>
      <c r="D43" s="790"/>
      <c r="E43" s="790"/>
      <c r="F43" s="791"/>
      <c r="G43" s="792"/>
    </row>
    <row r="44" spans="1:10" ht="18">
      <c r="A44" s="793" t="s">
        <v>172</v>
      </c>
      <c r="B44" s="794"/>
      <c r="C44" s="795"/>
      <c r="D44" s="795"/>
      <c r="E44" s="795"/>
      <c r="F44" s="796"/>
      <c r="G44" s="797"/>
    </row>
    <row r="45" spans="1:10" ht="18">
      <c r="A45" s="798" t="s">
        <v>347</v>
      </c>
      <c r="B45" s="794"/>
      <c r="C45" s="795"/>
      <c r="D45" s="795"/>
      <c r="E45" s="38"/>
      <c r="F45" s="796"/>
      <c r="G45" s="797"/>
    </row>
    <row r="46" spans="1:10" ht="18">
      <c r="A46" s="355" t="s">
        <v>522</v>
      </c>
      <c r="B46" s="553"/>
      <c r="C46" s="795"/>
      <c r="D46" s="795"/>
      <c r="E46" s="38"/>
      <c r="F46" s="796"/>
      <c r="G46" s="797"/>
    </row>
    <row r="47" spans="1:10" ht="18.75" thickBot="1">
      <c r="A47" s="359" t="s">
        <v>700</v>
      </c>
      <c r="B47" s="799" t="s">
        <v>109</v>
      </c>
      <c r="C47" s="800">
        <v>106027823</v>
      </c>
      <c r="D47" s="800">
        <v>49652872.5</v>
      </c>
      <c r="E47" s="97">
        <f t="shared" ref="E47" si="5">F47-D47</f>
        <v>56597127.5</v>
      </c>
      <c r="F47" s="801">
        <v>106250000</v>
      </c>
      <c r="G47" s="802">
        <f>146862953.95-G33-G38-G42-G51</f>
        <v>138470020.63999999</v>
      </c>
    </row>
    <row r="48" spans="1:10" ht="19.5" thickTop="1" thickBot="1">
      <c r="A48" s="351" t="s">
        <v>659</v>
      </c>
      <c r="B48" s="803"/>
      <c r="C48" s="112">
        <f t="shared" ref="C48:F48" si="6">SUM(C47)</f>
        <v>106027823</v>
      </c>
      <c r="D48" s="112">
        <f t="shared" si="6"/>
        <v>49652872.5</v>
      </c>
      <c r="E48" s="112">
        <f t="shared" si="6"/>
        <v>56597127.5</v>
      </c>
      <c r="F48" s="112">
        <f t="shared" si="6"/>
        <v>106250000</v>
      </c>
      <c r="G48" s="112">
        <f>SUM(G47)</f>
        <v>138470020.63999999</v>
      </c>
    </row>
    <row r="49" spans="1:7" ht="18.75" thickTop="1">
      <c r="A49" s="355" t="s">
        <v>535</v>
      </c>
      <c r="B49" s="553"/>
      <c r="C49" s="804"/>
      <c r="D49" s="804"/>
      <c r="E49" s="229"/>
      <c r="F49" s="805"/>
      <c r="G49" s="806"/>
    </row>
    <row r="50" spans="1:7" ht="18.75" thickBot="1">
      <c r="A50" s="807" t="s">
        <v>701</v>
      </c>
      <c r="B50" s="553" t="s">
        <v>702</v>
      </c>
      <c r="C50" s="38">
        <v>0</v>
      </c>
      <c r="D50" s="38">
        <v>0</v>
      </c>
      <c r="E50" s="38">
        <v>0</v>
      </c>
      <c r="F50" s="38">
        <v>0</v>
      </c>
      <c r="G50" s="797">
        <v>5000000</v>
      </c>
    </row>
    <row r="51" spans="1:7" ht="19.5" thickTop="1" thickBot="1">
      <c r="A51" s="787" t="s">
        <v>539</v>
      </c>
      <c r="B51" s="808"/>
      <c r="C51" s="809">
        <f t="shared" ref="C51:F51" si="7">SUM(C50)</f>
        <v>0</v>
      </c>
      <c r="D51" s="809">
        <f t="shared" si="7"/>
        <v>0</v>
      </c>
      <c r="E51" s="809">
        <f t="shared" si="7"/>
        <v>0</v>
      </c>
      <c r="F51" s="809">
        <f t="shared" si="7"/>
        <v>0</v>
      </c>
      <c r="G51" s="809">
        <f>SUM(G50)</f>
        <v>5000000</v>
      </c>
    </row>
    <row r="52" spans="1:7" ht="19.5" thickTop="1" thickBot="1">
      <c r="A52" s="787" t="s">
        <v>219</v>
      </c>
      <c r="B52" s="810"/>
      <c r="C52" s="811">
        <f>SUM(C45:C51)</f>
        <v>212055646</v>
      </c>
      <c r="D52" s="811">
        <f t="shared" ref="D52:F52" si="8">SUM(D45:D51)</f>
        <v>99305745</v>
      </c>
      <c r="E52" s="811">
        <f t="shared" si="8"/>
        <v>113194255</v>
      </c>
      <c r="F52" s="811">
        <f t="shared" si="8"/>
        <v>212500000</v>
      </c>
      <c r="G52" s="811">
        <f>G51+G48</f>
        <v>143470020.63999999</v>
      </c>
    </row>
    <row r="53" spans="1:7" ht="19.5" thickTop="1" thickBot="1">
      <c r="A53" s="351" t="s">
        <v>181</v>
      </c>
      <c r="B53" s="367"/>
      <c r="C53" s="112">
        <f>C52+C42+C38+C33</f>
        <v>213148325.03999999</v>
      </c>
      <c r="D53" s="112">
        <f>D52+D42+D38+D33</f>
        <v>99950912.930000007</v>
      </c>
      <c r="E53" s="112">
        <f>E52+E42+E38+E33</f>
        <v>116259685.87</v>
      </c>
      <c r="F53" s="112">
        <f>F52+F42+F38+F33</f>
        <v>216210598.80000001</v>
      </c>
      <c r="G53" s="112">
        <f>G52+G42+G38+G33</f>
        <v>146862953.94999999</v>
      </c>
    </row>
    <row r="54" spans="1:7" ht="18.75" thickTop="1">
      <c r="A54" s="317"/>
      <c r="B54" s="317"/>
      <c r="C54" s="317"/>
      <c r="D54" s="317"/>
      <c r="E54" s="317"/>
      <c r="F54" s="317"/>
      <c r="G54" s="317"/>
    </row>
    <row r="55" spans="1:7" ht="18">
      <c r="A55" s="317" t="s">
        <v>183</v>
      </c>
      <c r="B55" s="317" t="s">
        <v>184</v>
      </c>
      <c r="C55" s="317"/>
      <c r="D55" s="317"/>
      <c r="E55" s="317"/>
      <c r="F55" s="317" t="s">
        <v>185</v>
      </c>
      <c r="G55" s="317"/>
    </row>
    <row r="56" spans="1:7" ht="18">
      <c r="A56" s="317"/>
      <c r="B56" s="317"/>
      <c r="C56" s="317"/>
      <c r="D56" s="317"/>
      <c r="E56" s="317"/>
      <c r="F56" s="317"/>
      <c r="G56" s="317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/>
      <c r="B58" s="317"/>
      <c r="C58" s="317"/>
      <c r="D58" s="317"/>
      <c r="E58" s="317"/>
      <c r="F58" s="317"/>
      <c r="G58" s="317"/>
    </row>
    <row r="59" spans="1:7" ht="18">
      <c r="A59" s="317"/>
      <c r="B59" s="317"/>
      <c r="C59" s="317"/>
      <c r="D59" s="317"/>
      <c r="E59" s="317"/>
      <c r="F59" s="317"/>
      <c r="G59" s="317"/>
    </row>
    <row r="60" spans="1:7" ht="18">
      <c r="A60" s="812" t="s">
        <v>348</v>
      </c>
      <c r="B60" s="1239" t="s">
        <v>187</v>
      </c>
      <c r="C60" s="1236"/>
      <c r="D60" s="1236"/>
      <c r="E60" s="369"/>
      <c r="F60" s="1240" t="s">
        <v>188</v>
      </c>
      <c r="G60" s="1241"/>
    </row>
    <row r="61" spans="1:7" ht="18">
      <c r="A61" s="371" t="s">
        <v>349</v>
      </c>
      <c r="B61" s="1235" t="s">
        <v>190</v>
      </c>
      <c r="C61" s="1236"/>
      <c r="D61" s="1236"/>
      <c r="E61" s="372"/>
      <c r="F61" s="1237" t="s">
        <v>191</v>
      </c>
      <c r="G61" s="1241"/>
    </row>
    <row r="62" spans="1:7" ht="18">
      <c r="A62" s="317"/>
      <c r="B62" s="317"/>
      <c r="C62" s="317"/>
      <c r="D62" s="317"/>
      <c r="E62" s="317"/>
      <c r="F62" s="317"/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6.5">
      <c r="A64" s="1238" t="s">
        <v>222</v>
      </c>
      <c r="B64" s="1238"/>
      <c r="C64" s="1238"/>
      <c r="D64" s="1238"/>
      <c r="E64" s="1238"/>
      <c r="F64" s="1238"/>
      <c r="G64" s="1238"/>
    </row>
    <row r="65" spans="1:7" ht="18">
      <c r="A65" s="317"/>
      <c r="B65" s="317"/>
      <c r="C65" s="317"/>
      <c r="D65" s="317"/>
      <c r="E65" s="317"/>
      <c r="F65" s="317"/>
      <c r="G65" s="31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17"/>
      <c r="B68" s="317"/>
      <c r="C68" s="317"/>
      <c r="D68" s="317"/>
      <c r="E68" s="317"/>
      <c r="F68" s="317"/>
      <c r="G68" s="317"/>
    </row>
    <row r="69" spans="1:7" ht="18">
      <c r="A69" s="317"/>
      <c r="B69" s="317"/>
      <c r="C69" s="317"/>
      <c r="D69" s="317"/>
      <c r="E69" s="317"/>
      <c r="F69" s="317"/>
      <c r="G69" s="317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8">
      <c r="A72" s="317"/>
      <c r="B72" s="317"/>
      <c r="C72" s="317"/>
      <c r="D72" s="317"/>
      <c r="E72" s="317"/>
      <c r="F72" s="317"/>
      <c r="G72" s="317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</sheetData>
  <sheetProtection algorithmName="SHA-512" hashValue="MhXCqvrSVoEkj8KJnE3nynlUeYwNwtSsP7fT3vhwFoOb73LaMDNU0VufC7H9jnoYEYNQhpnxBfbZWll02PsW/A==" saltValue="qkK0RnZOs2uqiR9LoYdRkg==" spinCount="100000" sheet="1" objects="1" scenarios="1"/>
  <mergeCells count="13">
    <mergeCell ref="B60:D60"/>
    <mergeCell ref="F60:G60"/>
    <mergeCell ref="B61:D61"/>
    <mergeCell ref="F61:G61"/>
    <mergeCell ref="A64:G64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B8749-BE2B-416F-8CA5-852C6DCB593C}">
  <dimension ref="A1:K1015"/>
  <sheetViews>
    <sheetView topLeftCell="A13" workbookViewId="0">
      <selection activeCell="A98" sqref="A98:G98"/>
    </sheetView>
  </sheetViews>
  <sheetFormatPr defaultColWidth="8.85546875" defaultRowHeight="15"/>
  <cols>
    <col min="1" max="1" width="59.7109375" style="314" customWidth="1"/>
    <col min="2" max="2" width="13.28515625" style="314" customWidth="1"/>
    <col min="3" max="7" width="16.5703125" style="314" customWidth="1"/>
    <col min="8" max="8" width="8.85546875" style="314"/>
    <col min="9" max="11" width="14" style="314" bestFit="1" customWidth="1"/>
    <col min="12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7" t="s">
        <v>703</v>
      </c>
      <c r="B5" s="317"/>
      <c r="C5" s="317"/>
      <c r="D5" s="318"/>
      <c r="E5" s="317"/>
      <c r="F5" s="317"/>
      <c r="G5" s="317"/>
    </row>
    <row r="6" spans="1:7" ht="16.5" thickTop="1" thickBot="1">
      <c r="A6" s="1228" t="s">
        <v>16</v>
      </c>
      <c r="B6" s="1228" t="s">
        <v>17</v>
      </c>
      <c r="C6" s="1230" t="s">
        <v>580</v>
      </c>
      <c r="D6" s="1231" t="s">
        <v>704</v>
      </c>
      <c r="E6" s="1242"/>
      <c r="F6" s="1243"/>
      <c r="G6" s="1228" t="s">
        <v>556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813" t="s">
        <v>33</v>
      </c>
      <c r="B10" s="326"/>
      <c r="C10" s="326"/>
      <c r="D10" s="326"/>
      <c r="E10" s="326"/>
      <c r="F10" s="326"/>
      <c r="G10" s="380"/>
    </row>
    <row r="11" spans="1:7" ht="18">
      <c r="A11" s="814" t="s">
        <v>34</v>
      </c>
      <c r="B11" s="748"/>
      <c r="C11" s="330"/>
      <c r="D11" s="330"/>
      <c r="E11" s="330"/>
      <c r="F11" s="330"/>
      <c r="G11" s="381"/>
    </row>
    <row r="12" spans="1:7" ht="18">
      <c r="A12" s="815" t="s">
        <v>35</v>
      </c>
      <c r="B12" s="335"/>
      <c r="C12" s="335"/>
      <c r="D12" s="335"/>
      <c r="E12" s="335"/>
      <c r="F12" s="335"/>
      <c r="G12" s="383"/>
    </row>
    <row r="13" spans="1:7" ht="18">
      <c r="A13" s="413" t="s">
        <v>36</v>
      </c>
      <c r="B13" s="425" t="s">
        <v>37</v>
      </c>
      <c r="C13" s="36">
        <v>6163771.9900000002</v>
      </c>
      <c r="D13" s="36">
        <v>3135701.38</v>
      </c>
      <c r="E13" s="36">
        <f t="shared" ref="E13:E14" si="0">F13-D13</f>
        <v>5260722.62</v>
      </c>
      <c r="F13" s="37">
        <v>8396424</v>
      </c>
      <c r="G13" s="37">
        <v>8958773</v>
      </c>
    </row>
    <row r="14" spans="1:7" ht="18">
      <c r="A14" s="413" t="s">
        <v>38</v>
      </c>
      <c r="B14" s="425" t="s">
        <v>39</v>
      </c>
      <c r="C14" s="36">
        <v>4038271.15</v>
      </c>
      <c r="D14" s="36">
        <v>2067590</v>
      </c>
      <c r="E14" s="36">
        <f t="shared" si="0"/>
        <v>2144410</v>
      </c>
      <c r="F14" s="37">
        <v>4212000</v>
      </c>
      <c r="G14" s="37">
        <v>4455405</v>
      </c>
    </row>
    <row r="15" spans="1:7" ht="18">
      <c r="A15" s="815" t="s">
        <v>40</v>
      </c>
      <c r="B15" s="435"/>
      <c r="C15" s="36"/>
      <c r="D15" s="36"/>
      <c r="E15" s="36"/>
      <c r="F15" s="37"/>
      <c r="G15" s="37"/>
    </row>
    <row r="16" spans="1:7" ht="18">
      <c r="A16" s="413" t="s">
        <v>41</v>
      </c>
      <c r="B16" s="425" t="s">
        <v>42</v>
      </c>
      <c r="C16" s="36">
        <v>933727.39</v>
      </c>
      <c r="D16" s="36">
        <v>477636.45</v>
      </c>
      <c r="E16" s="36">
        <f t="shared" ref="E16:E19" si="1">F16-D16</f>
        <v>674363.55</v>
      </c>
      <c r="F16" s="37">
        <v>1152000</v>
      </c>
      <c r="G16" s="37">
        <v>1152000</v>
      </c>
    </row>
    <row r="17" spans="1:7" ht="18">
      <c r="A17" s="413" t="s">
        <v>43</v>
      </c>
      <c r="B17" s="425" t="s">
        <v>44</v>
      </c>
      <c r="C17" s="36">
        <v>102000</v>
      </c>
      <c r="D17" s="36">
        <v>51000</v>
      </c>
      <c r="E17" s="36">
        <f t="shared" si="1"/>
        <v>51000</v>
      </c>
      <c r="F17" s="37">
        <v>102000</v>
      </c>
      <c r="G17" s="37">
        <v>114000</v>
      </c>
    </row>
    <row r="18" spans="1:7" ht="18">
      <c r="A18" s="413" t="s">
        <v>45</v>
      </c>
      <c r="B18" s="425" t="s">
        <v>46</v>
      </c>
      <c r="C18" s="36">
        <v>102000</v>
      </c>
      <c r="D18" s="36">
        <v>51000</v>
      </c>
      <c r="E18" s="36">
        <f t="shared" si="1"/>
        <v>51000</v>
      </c>
      <c r="F18" s="37">
        <v>102000</v>
      </c>
      <c r="G18" s="37">
        <v>114000</v>
      </c>
    </row>
    <row r="19" spans="1:7" ht="18">
      <c r="A19" s="413" t="s">
        <v>47</v>
      </c>
      <c r="B19" s="425" t="s">
        <v>48</v>
      </c>
      <c r="C19" s="36">
        <v>222000</v>
      </c>
      <c r="D19" s="38">
        <v>180000</v>
      </c>
      <c r="E19" s="36">
        <f t="shared" si="1"/>
        <v>108000</v>
      </c>
      <c r="F19" s="37">
        <v>288000</v>
      </c>
      <c r="G19" s="37">
        <v>336000</v>
      </c>
    </row>
    <row r="20" spans="1:7" ht="18">
      <c r="A20" s="413" t="s">
        <v>49</v>
      </c>
      <c r="B20" s="339" t="s">
        <v>50</v>
      </c>
      <c r="C20" s="38">
        <v>178000</v>
      </c>
      <c r="D20" s="38">
        <v>0</v>
      </c>
      <c r="E20" s="36">
        <v>240000</v>
      </c>
      <c r="F20" s="37">
        <v>240000</v>
      </c>
      <c r="G20" s="37">
        <v>240000</v>
      </c>
    </row>
    <row r="21" spans="1:7" ht="18">
      <c r="A21" s="413" t="s">
        <v>53</v>
      </c>
      <c r="B21" s="425" t="s">
        <v>54</v>
      </c>
      <c r="C21" s="36">
        <v>831353</v>
      </c>
      <c r="D21" s="38">
        <v>0</v>
      </c>
      <c r="E21" s="36">
        <f t="shared" ref="E21:E23" si="2">F21-D21</f>
        <v>1050702</v>
      </c>
      <c r="F21" s="37">
        <v>1050702</v>
      </c>
      <c r="G21" s="37">
        <v>1145511</v>
      </c>
    </row>
    <row r="22" spans="1:7" ht="18">
      <c r="A22" s="413" t="s">
        <v>55</v>
      </c>
      <c r="B22" s="425" t="s">
        <v>56</v>
      </c>
      <c r="C22" s="36">
        <v>185000</v>
      </c>
      <c r="D22" s="38">
        <v>0</v>
      </c>
      <c r="E22" s="36">
        <f t="shared" si="2"/>
        <v>240000</v>
      </c>
      <c r="F22" s="37">
        <v>240000</v>
      </c>
      <c r="G22" s="37">
        <v>240000</v>
      </c>
    </row>
    <row r="23" spans="1:7" ht="18">
      <c r="A23" s="413" t="s">
        <v>57</v>
      </c>
      <c r="B23" s="425" t="s">
        <v>58</v>
      </c>
      <c r="C23" s="36">
        <v>804569</v>
      </c>
      <c r="D23" s="36">
        <v>830534</v>
      </c>
      <c r="E23" s="36">
        <f t="shared" si="2"/>
        <v>220168</v>
      </c>
      <c r="F23" s="37">
        <v>1050702</v>
      </c>
      <c r="G23" s="37">
        <v>1098089</v>
      </c>
    </row>
    <row r="24" spans="1:7" ht="18">
      <c r="A24" s="413" t="s">
        <v>557</v>
      </c>
      <c r="B24" s="425" t="s">
        <v>58</v>
      </c>
      <c r="C24" s="36">
        <v>0</v>
      </c>
      <c r="D24" s="36">
        <v>0</v>
      </c>
      <c r="E24" s="36"/>
      <c r="F24" s="37"/>
      <c r="G24" s="37">
        <v>336000</v>
      </c>
    </row>
    <row r="25" spans="1:7" ht="18">
      <c r="A25" s="815" t="s">
        <v>59</v>
      </c>
      <c r="B25" s="435"/>
      <c r="C25" s="36"/>
      <c r="D25" s="36"/>
      <c r="E25" s="36"/>
      <c r="F25" s="37"/>
      <c r="G25" s="37"/>
    </row>
    <row r="26" spans="1:7" ht="18">
      <c r="A26" s="413" t="s">
        <v>60</v>
      </c>
      <c r="B26" s="425" t="s">
        <v>61</v>
      </c>
      <c r="C26" s="36">
        <v>1208834.6599999999</v>
      </c>
      <c r="D26" s="36">
        <v>624544.31999999995</v>
      </c>
      <c r="E26" s="36">
        <f t="shared" ref="E26:E29" si="3">F26-D26</f>
        <v>888466.55999999994</v>
      </c>
      <c r="F26" s="37">
        <v>1513010.88</v>
      </c>
      <c r="G26" s="37">
        <v>1609701.36</v>
      </c>
    </row>
    <row r="27" spans="1:7" ht="18">
      <c r="A27" s="413" t="s">
        <v>62</v>
      </c>
      <c r="B27" s="425" t="s">
        <v>63</v>
      </c>
      <c r="C27" s="36">
        <v>47130</v>
      </c>
      <c r="D27" s="36">
        <v>43900</v>
      </c>
      <c r="E27" s="36">
        <f t="shared" si="3"/>
        <v>13700</v>
      </c>
      <c r="F27" s="37">
        <v>57600</v>
      </c>
      <c r="G27" s="37">
        <v>115200</v>
      </c>
    </row>
    <row r="28" spans="1:7" ht="18">
      <c r="A28" s="413" t="s">
        <v>64</v>
      </c>
      <c r="B28" s="425" t="s">
        <v>65</v>
      </c>
      <c r="C28" s="36">
        <v>194070.6</v>
      </c>
      <c r="D28" s="36">
        <v>136549.97</v>
      </c>
      <c r="E28" s="36">
        <f t="shared" si="3"/>
        <v>140108.94999999998</v>
      </c>
      <c r="F28" s="37">
        <v>276658.92</v>
      </c>
      <c r="G28" s="37">
        <v>328372.40000000002</v>
      </c>
    </row>
    <row r="29" spans="1:7" ht="18">
      <c r="A29" s="816" t="s">
        <v>66</v>
      </c>
      <c r="B29" s="749" t="s">
        <v>67</v>
      </c>
      <c r="C29" s="72">
        <v>47050</v>
      </c>
      <c r="D29" s="72">
        <v>23950</v>
      </c>
      <c r="E29" s="72">
        <f t="shared" si="3"/>
        <v>33650</v>
      </c>
      <c r="F29" s="123">
        <v>57600</v>
      </c>
      <c r="G29" s="123">
        <v>57600</v>
      </c>
    </row>
    <row r="30" spans="1:7" ht="18">
      <c r="A30" s="815" t="s">
        <v>68</v>
      </c>
      <c r="B30" s="344"/>
      <c r="C30" s="129"/>
      <c r="D30" s="129"/>
      <c r="E30" s="129"/>
      <c r="F30" s="121"/>
      <c r="G30" s="121"/>
    </row>
    <row r="31" spans="1:7" ht="18.75" thickBot="1">
      <c r="A31" s="413" t="s">
        <v>635</v>
      </c>
      <c r="B31" s="347" t="s">
        <v>520</v>
      </c>
      <c r="C31" s="38">
        <v>0</v>
      </c>
      <c r="D31" s="38">
        <v>0</v>
      </c>
      <c r="E31" s="38">
        <v>0</v>
      </c>
      <c r="F31" s="83">
        <v>0</v>
      </c>
      <c r="G31" s="49">
        <v>538721.21</v>
      </c>
    </row>
    <row r="32" spans="1:7" ht="19.5" thickTop="1" thickBot="1">
      <c r="A32" s="817" t="s">
        <v>71</v>
      </c>
      <c r="B32" s="352"/>
      <c r="C32" s="75">
        <f t="shared" ref="C32:F32" si="4">SUM(C13:C29)</f>
        <v>15057777.790000001</v>
      </c>
      <c r="D32" s="75">
        <f t="shared" si="4"/>
        <v>7622406.1200000001</v>
      </c>
      <c r="E32" s="75">
        <f t="shared" si="4"/>
        <v>11116291.68</v>
      </c>
      <c r="F32" s="75">
        <f t="shared" si="4"/>
        <v>18738697.800000001</v>
      </c>
      <c r="G32" s="77">
        <f>SUM(G13:G31)</f>
        <v>20839372.969999999</v>
      </c>
    </row>
    <row r="33" spans="1:7" ht="18.75" thickTop="1">
      <c r="A33" s="355" t="s">
        <v>72</v>
      </c>
      <c r="B33" s="356"/>
      <c r="C33" s="91"/>
      <c r="D33" s="91"/>
      <c r="E33" s="91"/>
      <c r="F33" s="777"/>
      <c r="G33" s="271"/>
    </row>
    <row r="34" spans="1:7" ht="18">
      <c r="A34" s="413" t="s">
        <v>73</v>
      </c>
      <c r="B34" s="356" t="s">
        <v>74</v>
      </c>
      <c r="C34" s="38">
        <v>200000</v>
      </c>
      <c r="D34" s="38">
        <v>1500000</v>
      </c>
      <c r="E34" s="36">
        <f t="shared" ref="E34:E49" si="5">F34-D34</f>
        <v>0</v>
      </c>
      <c r="F34" s="84">
        <v>1500000</v>
      </c>
      <c r="G34" s="37">
        <v>300000</v>
      </c>
    </row>
    <row r="35" spans="1:7" ht="18">
      <c r="A35" s="413" t="s">
        <v>636</v>
      </c>
      <c r="B35" s="356" t="s">
        <v>637</v>
      </c>
      <c r="C35" s="38">
        <v>8499682.0199999996</v>
      </c>
      <c r="D35" s="38">
        <v>0</v>
      </c>
      <c r="E35" s="36">
        <v>0</v>
      </c>
      <c r="F35" s="84">
        <v>0</v>
      </c>
      <c r="G35" s="37">
        <v>1000000</v>
      </c>
    </row>
    <row r="36" spans="1:7" ht="18">
      <c r="A36" s="413" t="s">
        <v>77</v>
      </c>
      <c r="B36" s="360" t="s">
        <v>78</v>
      </c>
      <c r="C36" s="38">
        <v>344219.51</v>
      </c>
      <c r="D36" s="38">
        <v>0</v>
      </c>
      <c r="E36" s="36">
        <f t="shared" si="5"/>
        <v>500000</v>
      </c>
      <c r="F36" s="84">
        <v>500000</v>
      </c>
      <c r="G36" s="37">
        <v>600000</v>
      </c>
    </row>
    <row r="37" spans="1:7" ht="18">
      <c r="A37" s="413" t="s">
        <v>79</v>
      </c>
      <c r="B37" s="360" t="s">
        <v>80</v>
      </c>
      <c r="C37" s="38">
        <v>300000</v>
      </c>
      <c r="D37" s="36">
        <v>368365.44</v>
      </c>
      <c r="E37" s="36">
        <f t="shared" si="5"/>
        <v>131634.56</v>
      </c>
      <c r="F37" s="84">
        <v>500000</v>
      </c>
      <c r="G37" s="37">
        <v>500000</v>
      </c>
    </row>
    <row r="38" spans="1:7" ht="18">
      <c r="A38" s="413" t="s">
        <v>81</v>
      </c>
      <c r="B38" s="360" t="s">
        <v>82</v>
      </c>
      <c r="C38" s="38">
        <v>229200</v>
      </c>
      <c r="D38" s="36">
        <v>173923</v>
      </c>
      <c r="E38" s="36">
        <f t="shared" si="5"/>
        <v>326077</v>
      </c>
      <c r="F38" s="84">
        <v>500000</v>
      </c>
      <c r="G38" s="37">
        <v>500000</v>
      </c>
    </row>
    <row r="39" spans="1:7" ht="18">
      <c r="A39" s="413" t="s">
        <v>83</v>
      </c>
      <c r="B39" s="360" t="s">
        <v>84</v>
      </c>
      <c r="C39" s="38">
        <v>120000</v>
      </c>
      <c r="D39" s="36">
        <v>40000</v>
      </c>
      <c r="E39" s="36">
        <f t="shared" si="5"/>
        <v>80000</v>
      </c>
      <c r="F39" s="84">
        <v>120000</v>
      </c>
      <c r="G39" s="37">
        <v>100000</v>
      </c>
    </row>
    <row r="40" spans="1:7" ht="18">
      <c r="A40" s="413" t="s">
        <v>85</v>
      </c>
      <c r="B40" s="339" t="s">
        <v>86</v>
      </c>
      <c r="C40" s="38">
        <v>186658.52</v>
      </c>
      <c r="D40" s="36">
        <v>72300.899999999994</v>
      </c>
      <c r="E40" s="36">
        <f t="shared" si="5"/>
        <v>127699.1</v>
      </c>
      <c r="F40" s="84">
        <v>200000</v>
      </c>
      <c r="G40" s="37">
        <v>200000</v>
      </c>
    </row>
    <row r="41" spans="1:7" ht="18">
      <c r="A41" s="413" t="s">
        <v>91</v>
      </c>
      <c r="B41" s="339" t="s">
        <v>92</v>
      </c>
      <c r="C41" s="38">
        <v>1700000</v>
      </c>
      <c r="D41" s="38">
        <v>0</v>
      </c>
      <c r="E41" s="36">
        <f t="shared" si="5"/>
        <v>1700000</v>
      </c>
      <c r="F41" s="84">
        <v>1700000</v>
      </c>
      <c r="G41" s="37">
        <v>1000000</v>
      </c>
    </row>
    <row r="42" spans="1:7" ht="18">
      <c r="A42" s="413" t="s">
        <v>93</v>
      </c>
      <c r="B42" s="339" t="s">
        <v>94</v>
      </c>
      <c r="C42" s="38">
        <v>1495949.36</v>
      </c>
      <c r="D42" s="38">
        <v>0</v>
      </c>
      <c r="E42" s="36">
        <f t="shared" si="5"/>
        <v>1504800</v>
      </c>
      <c r="F42" s="84">
        <v>1504800</v>
      </c>
      <c r="G42" s="37">
        <v>1000000</v>
      </c>
    </row>
    <row r="43" spans="1:7" ht="18">
      <c r="A43" s="413" t="s">
        <v>350</v>
      </c>
      <c r="B43" s="339" t="s">
        <v>198</v>
      </c>
      <c r="C43" s="110">
        <v>1289192.1200000001</v>
      </c>
      <c r="D43" s="110">
        <v>0</v>
      </c>
      <c r="E43" s="109">
        <f t="shared" si="5"/>
        <v>1296000</v>
      </c>
      <c r="F43" s="818">
        <v>1296000</v>
      </c>
      <c r="G43" s="92">
        <v>1296000</v>
      </c>
    </row>
    <row r="44" spans="1:7" ht="18">
      <c r="A44" s="413" t="s">
        <v>199</v>
      </c>
      <c r="B44" s="360" t="s">
        <v>200</v>
      </c>
      <c r="C44" s="78">
        <v>17586841.100000001</v>
      </c>
      <c r="D44" s="78">
        <v>8110905.6299999999</v>
      </c>
      <c r="E44" s="78">
        <f t="shared" si="5"/>
        <v>9495254.370000001</v>
      </c>
      <c r="F44" s="37">
        <v>17606160</v>
      </c>
      <c r="G44" s="37">
        <f>645*22*12*100</f>
        <v>17028000</v>
      </c>
    </row>
    <row r="45" spans="1:7" ht="18">
      <c r="A45" s="413" t="s">
        <v>96</v>
      </c>
      <c r="B45" s="360" t="s">
        <v>97</v>
      </c>
      <c r="C45" s="78">
        <v>134318.9</v>
      </c>
      <c r="D45" s="78">
        <v>0</v>
      </c>
      <c r="E45" s="78"/>
      <c r="F45" s="37"/>
      <c r="G45" s="37"/>
    </row>
    <row r="46" spans="1:7" ht="18">
      <c r="A46" s="413" t="s">
        <v>351</v>
      </c>
      <c r="B46" s="360" t="s">
        <v>352</v>
      </c>
      <c r="C46" s="78">
        <v>400000</v>
      </c>
      <c r="D46" s="78">
        <v>0</v>
      </c>
      <c r="E46" s="78"/>
      <c r="F46" s="37"/>
      <c r="G46" s="37"/>
    </row>
    <row r="47" spans="1:7" ht="18">
      <c r="A47" s="413" t="s">
        <v>98</v>
      </c>
      <c r="B47" s="360" t="s">
        <v>99</v>
      </c>
      <c r="C47" s="751">
        <v>200000</v>
      </c>
      <c r="D47" s="751">
        <v>0</v>
      </c>
      <c r="E47" s="78">
        <f t="shared" si="5"/>
        <v>200000</v>
      </c>
      <c r="F47" s="37">
        <v>200000</v>
      </c>
      <c r="G47" s="37">
        <v>200000</v>
      </c>
    </row>
    <row r="48" spans="1:7" ht="18">
      <c r="A48" s="413" t="s">
        <v>100</v>
      </c>
      <c r="B48" s="360" t="s">
        <v>101</v>
      </c>
      <c r="C48" s="78">
        <v>15000000</v>
      </c>
      <c r="D48" s="78">
        <v>1431988.75</v>
      </c>
      <c r="E48" s="78">
        <f t="shared" si="5"/>
        <v>13568011.25</v>
      </c>
      <c r="F48" s="37">
        <v>15000000</v>
      </c>
      <c r="G48" s="37">
        <v>15000000</v>
      </c>
    </row>
    <row r="49" spans="1:11" ht="18">
      <c r="A49" s="413" t="s">
        <v>104</v>
      </c>
      <c r="B49" s="339" t="s">
        <v>105</v>
      </c>
      <c r="C49" s="819">
        <v>500000</v>
      </c>
      <c r="D49" s="820">
        <v>0</v>
      </c>
      <c r="E49" s="78">
        <f t="shared" si="5"/>
        <v>500000</v>
      </c>
      <c r="F49" s="147">
        <v>500000</v>
      </c>
      <c r="G49" s="147">
        <v>200000</v>
      </c>
    </row>
    <row r="50" spans="1:11" ht="18">
      <c r="A50" s="768" t="s">
        <v>108</v>
      </c>
      <c r="B50" s="360" t="s">
        <v>109</v>
      </c>
      <c r="C50" s="78"/>
      <c r="D50" s="78"/>
      <c r="E50" s="78"/>
      <c r="F50" s="37"/>
      <c r="G50" s="37"/>
    </row>
    <row r="51" spans="1:11" ht="49.15" customHeight="1">
      <c r="A51" s="764" t="s">
        <v>353</v>
      </c>
      <c r="B51" s="365"/>
      <c r="C51" s="751">
        <v>2796702.24</v>
      </c>
      <c r="D51" s="751">
        <v>1449829.85</v>
      </c>
      <c r="E51" s="78">
        <f t="shared" ref="E51:E59" si="6">F51-D51</f>
        <v>50170.149999999907</v>
      </c>
      <c r="F51" s="37">
        <v>1500000</v>
      </c>
      <c r="G51" s="37">
        <v>500000</v>
      </c>
    </row>
    <row r="52" spans="1:11" ht="36">
      <c r="A52" s="764" t="s">
        <v>354</v>
      </c>
      <c r="B52" s="365"/>
      <c r="C52" s="751">
        <v>480000</v>
      </c>
      <c r="D52" s="751">
        <v>0</v>
      </c>
      <c r="E52" s="78">
        <f t="shared" si="6"/>
        <v>500000</v>
      </c>
      <c r="F52" s="37">
        <v>500000</v>
      </c>
      <c r="G52" s="37">
        <v>300000</v>
      </c>
    </row>
    <row r="53" spans="1:11" ht="36">
      <c r="A53" s="772" t="s">
        <v>357</v>
      </c>
      <c r="B53" s="360"/>
      <c r="C53" s="751">
        <v>5951838.0099999998</v>
      </c>
      <c r="D53" s="751">
        <v>0</v>
      </c>
      <c r="E53" s="78">
        <f t="shared" si="6"/>
        <v>500000</v>
      </c>
      <c r="F53" s="37">
        <v>500000</v>
      </c>
      <c r="G53" s="37">
        <v>200000</v>
      </c>
    </row>
    <row r="54" spans="1:11" ht="18">
      <c r="A54" s="821" t="s">
        <v>359</v>
      </c>
      <c r="B54" s="339"/>
      <c r="C54" s="795">
        <v>5000000</v>
      </c>
      <c r="D54" s="795">
        <v>0</v>
      </c>
      <c r="E54" s="78">
        <f t="shared" si="6"/>
        <v>2343260</v>
      </c>
      <c r="F54" s="92">
        <v>2343260</v>
      </c>
      <c r="G54" s="822">
        <v>1000000</v>
      </c>
    </row>
    <row r="55" spans="1:11" ht="18">
      <c r="A55" s="821" t="s">
        <v>360</v>
      </c>
      <c r="B55" s="339"/>
      <c r="C55" s="795"/>
      <c r="D55" s="795">
        <v>78400</v>
      </c>
      <c r="E55" s="78">
        <f t="shared" si="6"/>
        <v>2264860</v>
      </c>
      <c r="F55" s="92">
        <v>2343260</v>
      </c>
      <c r="G55" s="822">
        <v>700000</v>
      </c>
    </row>
    <row r="56" spans="1:11" ht="18">
      <c r="A56" s="764" t="s">
        <v>355</v>
      </c>
      <c r="B56" s="365"/>
      <c r="C56" s="751">
        <v>265951.35999999999</v>
      </c>
      <c r="D56" s="751">
        <v>0</v>
      </c>
      <c r="E56" s="78">
        <f t="shared" si="6"/>
        <v>300000</v>
      </c>
      <c r="F56" s="37">
        <v>300000</v>
      </c>
      <c r="G56" s="37">
        <v>200000</v>
      </c>
    </row>
    <row r="57" spans="1:11" ht="36">
      <c r="A57" s="772" t="s">
        <v>356</v>
      </c>
      <c r="B57" s="360"/>
      <c r="C57" s="751">
        <v>994333.08</v>
      </c>
      <c r="D57" s="751">
        <v>0</v>
      </c>
      <c r="E57" s="78">
        <f t="shared" si="6"/>
        <v>500000</v>
      </c>
      <c r="F57" s="37">
        <v>500000</v>
      </c>
      <c r="G57" s="823">
        <v>0</v>
      </c>
    </row>
    <row r="58" spans="1:11" ht="49.5">
      <c r="A58" s="824" t="s">
        <v>358</v>
      </c>
      <c r="B58" s="339"/>
      <c r="C58" s="795">
        <v>0</v>
      </c>
      <c r="D58" s="795">
        <v>2337463.59</v>
      </c>
      <c r="E58" s="78">
        <f t="shared" si="6"/>
        <v>5796.410000000149</v>
      </c>
      <c r="F58" s="92">
        <v>2343260</v>
      </c>
      <c r="G58" s="823">
        <v>0</v>
      </c>
    </row>
    <row r="59" spans="1:11" ht="18">
      <c r="A59" s="821" t="s">
        <v>361</v>
      </c>
      <c r="B59" s="339"/>
      <c r="C59" s="795"/>
      <c r="D59" s="795">
        <v>0</v>
      </c>
      <c r="E59" s="78">
        <f t="shared" si="6"/>
        <v>1043260</v>
      </c>
      <c r="F59" s="92">
        <v>1043260</v>
      </c>
      <c r="G59" s="823">
        <v>0</v>
      </c>
    </row>
    <row r="60" spans="1:11" ht="18">
      <c r="A60" s="772" t="s">
        <v>362</v>
      </c>
      <c r="B60" s="360"/>
      <c r="C60" s="751">
        <v>1988396.23</v>
      </c>
      <c r="D60" s="795">
        <v>0</v>
      </c>
      <c r="E60" s="795">
        <v>0</v>
      </c>
      <c r="F60" s="795">
        <v>0</v>
      </c>
      <c r="G60" s="823">
        <v>0</v>
      </c>
    </row>
    <row r="61" spans="1:11" ht="18.75" thickBot="1">
      <c r="A61" s="764"/>
      <c r="B61" s="825"/>
      <c r="C61" s="826"/>
      <c r="D61" s="827"/>
      <c r="E61" s="827"/>
      <c r="F61" s="828"/>
      <c r="G61" s="829"/>
    </row>
    <row r="62" spans="1:11" ht="19.5" thickTop="1" thickBot="1">
      <c r="A62" s="817" t="s">
        <v>162</v>
      </c>
      <c r="B62" s="367"/>
      <c r="C62" s="75">
        <f>SUM(C34:C61)</f>
        <v>65663282.449999996</v>
      </c>
      <c r="D62" s="75">
        <f>SUM(D34:D61)</f>
        <v>15563177.159999998</v>
      </c>
      <c r="E62" s="75">
        <f>SUM(E34:E61)</f>
        <v>36936822.840000004</v>
      </c>
      <c r="F62" s="75">
        <f>SUM(F34:F61)</f>
        <v>52500000</v>
      </c>
      <c r="G62" s="75">
        <f>SUM(G34:G61)</f>
        <v>41824000</v>
      </c>
      <c r="I62" s="558">
        <f>F62*0.35</f>
        <v>18375000</v>
      </c>
      <c r="J62" s="558">
        <f>F62*0.35</f>
        <v>18375000</v>
      </c>
      <c r="K62" s="558">
        <f>F62-J62</f>
        <v>34125000</v>
      </c>
    </row>
    <row r="63" spans="1:11" ht="18.75" thickTop="1">
      <c r="A63" s="830" t="s">
        <v>163</v>
      </c>
      <c r="B63" s="436"/>
      <c r="C63" s="831"/>
      <c r="D63" s="831"/>
      <c r="E63" s="831"/>
      <c r="F63" s="832"/>
      <c r="G63" s="217"/>
    </row>
    <row r="64" spans="1:11" ht="18">
      <c r="A64" s="734" t="s">
        <v>167</v>
      </c>
      <c r="B64" s="391" t="s">
        <v>168</v>
      </c>
      <c r="C64" s="751">
        <v>103000</v>
      </c>
      <c r="D64" s="795"/>
      <c r="E64" s="78">
        <f t="shared" ref="E64:E66" si="7">F64-D64</f>
        <v>1000000</v>
      </c>
      <c r="F64" s="37">
        <v>1000000</v>
      </c>
      <c r="G64" s="37">
        <v>0</v>
      </c>
    </row>
    <row r="65" spans="1:7" ht="18">
      <c r="A65" s="734" t="s">
        <v>207</v>
      </c>
      <c r="B65" s="391" t="s">
        <v>208</v>
      </c>
      <c r="C65" s="751"/>
      <c r="D65" s="795"/>
      <c r="E65" s="78">
        <f t="shared" si="7"/>
        <v>1500000</v>
      </c>
      <c r="F65" s="37">
        <v>1500000</v>
      </c>
      <c r="G65" s="37">
        <v>0</v>
      </c>
    </row>
    <row r="66" spans="1:7" ht="18">
      <c r="A66" s="538" t="s">
        <v>363</v>
      </c>
      <c r="B66" s="833" t="s">
        <v>364</v>
      </c>
      <c r="C66" s="751">
        <v>944000</v>
      </c>
      <c r="D66" s="795"/>
      <c r="E66" s="78">
        <f t="shared" si="7"/>
        <v>5000000</v>
      </c>
      <c r="F66" s="37">
        <v>5000000</v>
      </c>
      <c r="G66" s="37">
        <v>0</v>
      </c>
    </row>
    <row r="67" spans="1:7" ht="18.75" thickBot="1">
      <c r="A67" s="734"/>
      <c r="B67" s="391"/>
      <c r="C67" s="78"/>
      <c r="D67" s="795"/>
      <c r="E67" s="795"/>
      <c r="F67" s="57"/>
      <c r="G67" s="57"/>
    </row>
    <row r="68" spans="1:7" ht="19.5" thickTop="1" thickBot="1">
      <c r="A68" s="351" t="s">
        <v>171</v>
      </c>
      <c r="B68" s="367"/>
      <c r="C68" s="75">
        <f>SUM(C64:C67)</f>
        <v>1047000</v>
      </c>
      <c r="D68" s="724">
        <f>SUM(D64:D67)</f>
        <v>0</v>
      </c>
      <c r="E68" s="75">
        <f>SUM(E64:E67)</f>
        <v>7500000</v>
      </c>
      <c r="F68" s="75">
        <f>SUM(F64:F67)</f>
        <v>7500000</v>
      </c>
      <c r="G68" s="75">
        <f>SUM(G64:G67)</f>
        <v>0</v>
      </c>
    </row>
    <row r="69" spans="1:7" ht="19.5" thickTop="1" thickBot="1">
      <c r="A69" s="351" t="s">
        <v>181</v>
      </c>
      <c r="B69" s="367"/>
      <c r="C69" s="75">
        <f>C68+C62+C32</f>
        <v>81768060.239999995</v>
      </c>
      <c r="D69" s="75">
        <f>D68+D62+D32</f>
        <v>23185583.279999997</v>
      </c>
      <c r="E69" s="75">
        <f>E68+E62+E32</f>
        <v>55553114.520000003</v>
      </c>
      <c r="F69" s="75">
        <f>F68+F62+F32</f>
        <v>78738697.799999997</v>
      </c>
      <c r="G69" s="75">
        <f>G68+G62+G32</f>
        <v>62663372.969999999</v>
      </c>
    </row>
    <row r="70" spans="1:7" ht="18.75" thickTop="1">
      <c r="A70" s="317"/>
      <c r="B70" s="317"/>
      <c r="C70" s="317"/>
      <c r="D70" s="317"/>
      <c r="E70" s="317"/>
      <c r="F70" s="317"/>
      <c r="G70" s="317"/>
    </row>
    <row r="71" spans="1:7" ht="15.75">
      <c r="A71" s="1288" t="s">
        <v>194</v>
      </c>
      <c r="B71" s="1288"/>
      <c r="C71" s="1288"/>
      <c r="D71" s="1288"/>
      <c r="E71" s="1288"/>
      <c r="F71" s="1288"/>
      <c r="G71" s="1288"/>
    </row>
    <row r="72" spans="1:7" ht="15.75">
      <c r="A72" s="834"/>
      <c r="B72" s="834"/>
      <c r="C72" s="834"/>
      <c r="D72" s="834"/>
      <c r="E72" s="834"/>
      <c r="F72" s="834"/>
      <c r="G72" s="834"/>
    </row>
    <row r="73" spans="1:7" ht="15.75">
      <c r="A73" s="834"/>
      <c r="B73" s="834"/>
      <c r="C73" s="834"/>
      <c r="D73" s="834"/>
      <c r="E73" s="834"/>
      <c r="F73" s="834"/>
      <c r="G73" s="834"/>
    </row>
    <row r="74" spans="1:7" ht="15.75">
      <c r="A74" s="834"/>
      <c r="B74" s="834"/>
      <c r="C74" s="834"/>
      <c r="D74" s="834"/>
      <c r="E74" s="834"/>
      <c r="F74" s="834"/>
      <c r="G74" s="834"/>
    </row>
    <row r="75" spans="1:7" ht="15.75">
      <c r="A75" s="834"/>
      <c r="B75" s="834"/>
      <c r="C75" s="834"/>
      <c r="D75" s="834"/>
      <c r="E75" s="834"/>
      <c r="F75" s="834"/>
      <c r="G75" s="834"/>
    </row>
    <row r="76" spans="1:7" ht="15.75">
      <c r="A76" s="834"/>
      <c r="B76" s="834"/>
      <c r="C76" s="834"/>
      <c r="D76" s="834"/>
      <c r="E76" s="834"/>
      <c r="F76" s="834"/>
      <c r="G76" s="834"/>
    </row>
    <row r="77" spans="1:7" ht="15.75">
      <c r="A77" s="834"/>
      <c r="B77" s="834"/>
      <c r="C77" s="834"/>
      <c r="D77" s="834"/>
      <c r="E77" s="834"/>
      <c r="F77" s="834"/>
      <c r="G77" s="834"/>
    </row>
    <row r="78" spans="1:7" ht="15.75">
      <c r="A78" s="834"/>
      <c r="B78" s="834"/>
      <c r="C78" s="834"/>
      <c r="D78" s="834"/>
      <c r="E78" s="834"/>
      <c r="F78" s="834"/>
      <c r="G78" s="834"/>
    </row>
    <row r="79" spans="1:7" ht="15.75">
      <c r="A79" s="834"/>
      <c r="B79" s="834"/>
      <c r="C79" s="834"/>
      <c r="D79" s="834"/>
      <c r="E79" s="834"/>
      <c r="F79" s="834"/>
      <c r="G79" s="834"/>
    </row>
    <row r="80" spans="1:7" ht="15.75">
      <c r="A80" s="834"/>
      <c r="B80" s="834"/>
      <c r="C80" s="834"/>
      <c r="D80" s="834"/>
      <c r="E80" s="834"/>
      <c r="F80" s="834"/>
      <c r="G80" s="834"/>
    </row>
    <row r="81" spans="1:7" ht="15.75">
      <c r="A81" s="834"/>
      <c r="B81" s="834"/>
      <c r="C81" s="834"/>
      <c r="D81" s="834"/>
      <c r="E81" s="834"/>
      <c r="F81" s="834"/>
      <c r="G81" s="834"/>
    </row>
    <row r="82" spans="1:7" ht="18">
      <c r="A82" s="317" t="s">
        <v>183</v>
      </c>
      <c r="B82" s="317" t="s">
        <v>184</v>
      </c>
      <c r="C82" s="317"/>
      <c r="D82" s="317"/>
      <c r="E82" s="317"/>
      <c r="F82" s="317" t="s">
        <v>185</v>
      </c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09" t="s">
        <v>186</v>
      </c>
      <c r="B86" s="1239" t="s">
        <v>187</v>
      </c>
      <c r="C86" s="1236"/>
      <c r="D86" s="1236"/>
      <c r="E86" s="369"/>
      <c r="F86" s="1240" t="s">
        <v>188</v>
      </c>
      <c r="G86" s="1241"/>
    </row>
    <row r="87" spans="1:7" ht="18">
      <c r="A87" s="373" t="s">
        <v>189</v>
      </c>
      <c r="B87" s="1235" t="s">
        <v>190</v>
      </c>
      <c r="C87" s="1236"/>
      <c r="D87" s="1236"/>
      <c r="E87" s="372"/>
      <c r="F87" s="1237" t="s">
        <v>191</v>
      </c>
      <c r="G87" s="1241"/>
    </row>
    <row r="88" spans="1:7" ht="15.75">
      <c r="A88" s="1288"/>
      <c r="B88" s="1288"/>
      <c r="C88" s="1288"/>
      <c r="D88" s="1288"/>
      <c r="E88" s="1288"/>
      <c r="F88" s="1288"/>
      <c r="G88" s="1288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 ht="18">
      <c r="A249" s="317"/>
      <c r="B249" s="317"/>
      <c r="C249" s="317"/>
      <c r="D249" s="317"/>
      <c r="E249" s="317"/>
      <c r="F249" s="317"/>
      <c r="G249" s="317"/>
    </row>
    <row r="250" spans="1:7" ht="18">
      <c r="A250" s="317"/>
      <c r="B250" s="317"/>
      <c r="C250" s="317"/>
      <c r="D250" s="317"/>
      <c r="E250" s="317"/>
      <c r="F250" s="317"/>
      <c r="G250" s="317"/>
    </row>
    <row r="251" spans="1:7" ht="18">
      <c r="A251" s="317"/>
      <c r="B251" s="317"/>
      <c r="C251" s="317"/>
      <c r="D251" s="317"/>
      <c r="E251" s="317"/>
      <c r="F251" s="317"/>
      <c r="G251" s="317"/>
    </row>
    <row r="252" spans="1:7" ht="18">
      <c r="A252" s="317"/>
      <c r="B252" s="317"/>
      <c r="C252" s="317"/>
      <c r="D252" s="317"/>
      <c r="E252" s="317"/>
      <c r="F252" s="317"/>
      <c r="G252" s="317"/>
    </row>
    <row r="253" spans="1:7" ht="18">
      <c r="A253" s="317"/>
      <c r="B253" s="317"/>
      <c r="C253" s="317"/>
      <c r="D253" s="317"/>
      <c r="E253" s="317"/>
      <c r="F253" s="317"/>
      <c r="G253" s="317"/>
    </row>
    <row r="254" spans="1:7" ht="18">
      <c r="A254" s="317"/>
      <c r="B254" s="317"/>
      <c r="C254" s="317"/>
      <c r="D254" s="317"/>
      <c r="E254" s="317"/>
      <c r="F254" s="317"/>
      <c r="G254" s="317"/>
    </row>
    <row r="255" spans="1:7" ht="18">
      <c r="A255" s="317"/>
      <c r="B255" s="317"/>
      <c r="C255" s="317"/>
      <c r="D255" s="317"/>
      <c r="E255" s="317"/>
      <c r="F255" s="317"/>
      <c r="G255" s="317"/>
    </row>
    <row r="256" spans="1:7" ht="18">
      <c r="A256" s="317"/>
      <c r="B256" s="317"/>
      <c r="C256" s="317"/>
      <c r="D256" s="317"/>
      <c r="E256" s="317"/>
      <c r="F256" s="317"/>
      <c r="G256" s="317"/>
    </row>
    <row r="257" spans="1:7" ht="18">
      <c r="A257" s="317"/>
      <c r="B257" s="317"/>
      <c r="C257" s="317"/>
      <c r="D257" s="317"/>
      <c r="E257" s="317"/>
      <c r="F257" s="317"/>
      <c r="G257" s="317"/>
    </row>
    <row r="258" spans="1:7" ht="18">
      <c r="A258" s="317"/>
      <c r="B258" s="317"/>
      <c r="C258" s="317"/>
      <c r="D258" s="317"/>
      <c r="E258" s="317"/>
      <c r="F258" s="317"/>
      <c r="G258" s="317"/>
    </row>
    <row r="259" spans="1:7" ht="18">
      <c r="A259" s="317"/>
      <c r="B259" s="317"/>
      <c r="C259" s="317"/>
      <c r="D259" s="317"/>
      <c r="E259" s="317"/>
      <c r="F259" s="317"/>
      <c r="G259" s="317"/>
    </row>
    <row r="260" spans="1:7" ht="18">
      <c r="A260" s="317"/>
      <c r="B260" s="317"/>
      <c r="C260" s="317"/>
      <c r="D260" s="317"/>
      <c r="E260" s="317"/>
      <c r="F260" s="317"/>
      <c r="G260" s="317"/>
    </row>
    <row r="261" spans="1:7" ht="18">
      <c r="A261" s="317"/>
      <c r="B261" s="317"/>
      <c r="C261" s="317"/>
      <c r="D261" s="317"/>
      <c r="E261" s="317"/>
      <c r="F261" s="317"/>
      <c r="G261" s="317"/>
    </row>
    <row r="262" spans="1:7" ht="18">
      <c r="A262" s="317"/>
      <c r="B262" s="317"/>
      <c r="C262" s="317"/>
      <c r="D262" s="317"/>
      <c r="E262" s="317"/>
      <c r="F262" s="317"/>
      <c r="G262" s="317"/>
    </row>
    <row r="263" spans="1:7" ht="18">
      <c r="A263" s="317"/>
      <c r="B263" s="317"/>
      <c r="C263" s="317"/>
      <c r="D263" s="317"/>
      <c r="E263" s="317"/>
      <c r="F263" s="317"/>
      <c r="G263" s="317"/>
    </row>
    <row r="264" spans="1:7" ht="18">
      <c r="A264" s="317"/>
      <c r="B264" s="317"/>
      <c r="C264" s="317"/>
      <c r="D264" s="317"/>
      <c r="E264" s="317"/>
      <c r="F264" s="317"/>
      <c r="G264" s="317"/>
    </row>
    <row r="265" spans="1:7" ht="18">
      <c r="A265" s="317"/>
      <c r="B265" s="317"/>
      <c r="C265" s="317"/>
      <c r="D265" s="317"/>
      <c r="E265" s="317"/>
      <c r="F265" s="317"/>
      <c r="G265" s="317"/>
    </row>
    <row r="266" spans="1:7" ht="18">
      <c r="A266" s="317"/>
      <c r="B266" s="317"/>
      <c r="C266" s="317"/>
      <c r="D266" s="317"/>
      <c r="E266" s="317"/>
      <c r="F266" s="317"/>
      <c r="G266" s="317"/>
    </row>
    <row r="267" spans="1:7" ht="18">
      <c r="A267" s="317"/>
      <c r="B267" s="317"/>
      <c r="C267" s="317"/>
      <c r="D267" s="317"/>
      <c r="E267" s="317"/>
      <c r="F267" s="317"/>
      <c r="G267" s="317"/>
    </row>
    <row r="268" spans="1:7" ht="18">
      <c r="A268" s="317"/>
      <c r="B268" s="317"/>
      <c r="C268" s="317"/>
      <c r="D268" s="317"/>
      <c r="E268" s="317"/>
      <c r="F268" s="317"/>
      <c r="G268" s="317"/>
    </row>
    <row r="269" spans="1:7" ht="18">
      <c r="A269" s="317"/>
      <c r="B269" s="317"/>
      <c r="C269" s="317"/>
      <c r="D269" s="317"/>
      <c r="E269" s="317"/>
      <c r="F269" s="317"/>
      <c r="G269" s="317"/>
    </row>
    <row r="270" spans="1:7" ht="18">
      <c r="A270" s="317"/>
      <c r="B270" s="317"/>
      <c r="C270" s="317"/>
      <c r="D270" s="317"/>
      <c r="E270" s="317"/>
      <c r="F270" s="317"/>
      <c r="G270" s="317"/>
    </row>
    <row r="271" spans="1:7" ht="18">
      <c r="A271" s="317"/>
      <c r="B271" s="317"/>
      <c r="C271" s="317"/>
      <c r="D271" s="317"/>
      <c r="E271" s="317"/>
      <c r="F271" s="317"/>
      <c r="G271" s="317"/>
    </row>
    <row r="272" spans="1:7" ht="18">
      <c r="A272" s="317"/>
      <c r="B272" s="317"/>
      <c r="C272" s="317"/>
      <c r="D272" s="317"/>
      <c r="E272" s="317"/>
      <c r="F272" s="317"/>
      <c r="G272" s="317"/>
    </row>
    <row r="273" spans="1:7" ht="18">
      <c r="A273" s="317"/>
      <c r="B273" s="317"/>
      <c r="C273" s="317"/>
      <c r="D273" s="317"/>
      <c r="E273" s="317"/>
      <c r="F273" s="317"/>
      <c r="G273" s="317"/>
    </row>
    <row r="274" spans="1:7" ht="18">
      <c r="A274" s="317"/>
      <c r="B274" s="317"/>
      <c r="C274" s="317"/>
      <c r="D274" s="317"/>
      <c r="E274" s="317"/>
      <c r="F274" s="317"/>
      <c r="G274" s="317"/>
    </row>
    <row r="275" spans="1:7" ht="18">
      <c r="A275" s="317"/>
      <c r="B275" s="317"/>
      <c r="C275" s="317"/>
      <c r="D275" s="317"/>
      <c r="E275" s="317"/>
      <c r="F275" s="317"/>
      <c r="G275" s="317"/>
    </row>
    <row r="276" spans="1:7" ht="18">
      <c r="A276" s="317"/>
      <c r="B276" s="317"/>
      <c r="C276" s="317"/>
      <c r="D276" s="317"/>
      <c r="E276" s="317"/>
      <c r="F276" s="317"/>
      <c r="G276" s="317"/>
    </row>
    <row r="277" spans="1:7" ht="18">
      <c r="A277" s="317"/>
      <c r="B277" s="317"/>
      <c r="C277" s="317"/>
      <c r="D277" s="317"/>
      <c r="E277" s="317"/>
      <c r="F277" s="317"/>
      <c r="G277" s="317"/>
    </row>
    <row r="278" spans="1:7" ht="18">
      <c r="A278" s="317"/>
      <c r="B278" s="317"/>
      <c r="C278" s="317"/>
      <c r="D278" s="317"/>
      <c r="E278" s="317"/>
      <c r="F278" s="317"/>
      <c r="G278" s="317"/>
    </row>
    <row r="279" spans="1:7" ht="18">
      <c r="A279" s="317"/>
      <c r="B279" s="317"/>
      <c r="C279" s="317"/>
      <c r="D279" s="317"/>
      <c r="E279" s="317"/>
      <c r="F279" s="317"/>
      <c r="G279" s="317"/>
    </row>
    <row r="280" spans="1:7" ht="18">
      <c r="A280" s="317"/>
      <c r="B280" s="317"/>
      <c r="C280" s="317"/>
      <c r="D280" s="317"/>
      <c r="E280" s="317"/>
      <c r="F280" s="317"/>
      <c r="G280" s="317"/>
    </row>
    <row r="281" spans="1:7" ht="18">
      <c r="A281" s="317"/>
      <c r="B281" s="317"/>
      <c r="C281" s="317"/>
      <c r="D281" s="317"/>
      <c r="E281" s="317"/>
      <c r="F281" s="317"/>
      <c r="G281" s="317"/>
    </row>
    <row r="282" spans="1:7" ht="18">
      <c r="A282" s="317"/>
      <c r="B282" s="317"/>
      <c r="C282" s="317"/>
      <c r="D282" s="317"/>
      <c r="E282" s="317"/>
      <c r="F282" s="317"/>
      <c r="G282" s="317"/>
    </row>
    <row r="283" spans="1:7" ht="18">
      <c r="A283" s="317"/>
      <c r="B283" s="317"/>
      <c r="C283" s="317"/>
      <c r="D283" s="317"/>
      <c r="E283" s="317"/>
      <c r="F283" s="317"/>
      <c r="G283" s="317"/>
    </row>
    <row r="284" spans="1:7" ht="18">
      <c r="A284" s="317"/>
      <c r="B284" s="317"/>
      <c r="C284" s="317"/>
      <c r="D284" s="317"/>
      <c r="E284" s="317"/>
      <c r="F284" s="317"/>
      <c r="G284" s="317"/>
    </row>
    <row r="285" spans="1:7" ht="18">
      <c r="A285" s="317"/>
      <c r="B285" s="317"/>
      <c r="C285" s="317"/>
      <c r="D285" s="317"/>
      <c r="E285" s="317"/>
      <c r="F285" s="317"/>
      <c r="G285" s="317"/>
    </row>
    <row r="286" spans="1:7" ht="18">
      <c r="A286" s="317"/>
      <c r="B286" s="317"/>
      <c r="C286" s="317"/>
      <c r="D286" s="317"/>
      <c r="E286" s="317"/>
      <c r="F286" s="317"/>
      <c r="G286" s="317"/>
    </row>
    <row r="287" spans="1:7" ht="18">
      <c r="A287" s="317"/>
      <c r="B287" s="317"/>
      <c r="C287" s="317"/>
      <c r="D287" s="317"/>
      <c r="E287" s="317"/>
      <c r="F287" s="317"/>
      <c r="G287" s="317"/>
    </row>
    <row r="288" spans="1:7" ht="16.5">
      <c r="A288" s="695"/>
      <c r="B288" s="377"/>
      <c r="C288" s="377"/>
      <c r="D288" s="377"/>
      <c r="E288" s="377"/>
      <c r="F288" s="377"/>
      <c r="G288" s="377"/>
    </row>
    <row r="289" spans="1:7" ht="16.5">
      <c r="A289" s="695"/>
      <c r="B289" s="377"/>
      <c r="C289" s="377"/>
      <c r="D289" s="377"/>
      <c r="E289" s="377"/>
      <c r="F289" s="377"/>
      <c r="G289" s="377"/>
    </row>
    <row r="290" spans="1:7" ht="16.5">
      <c r="A290" s="695"/>
      <c r="B290" s="377"/>
      <c r="C290" s="377"/>
      <c r="D290" s="377"/>
      <c r="E290" s="377"/>
      <c r="F290" s="377"/>
      <c r="G290" s="377"/>
    </row>
    <row r="291" spans="1:7" ht="16.5">
      <c r="A291" s="695"/>
      <c r="B291" s="377"/>
      <c r="C291" s="377"/>
      <c r="D291" s="377"/>
      <c r="E291" s="377"/>
      <c r="F291" s="377"/>
      <c r="G291" s="377"/>
    </row>
    <row r="292" spans="1:7" ht="16.5">
      <c r="A292" s="695"/>
      <c r="B292" s="377"/>
      <c r="C292" s="377"/>
      <c r="D292" s="377"/>
      <c r="E292" s="377"/>
      <c r="F292" s="377"/>
      <c r="G292" s="377"/>
    </row>
    <row r="293" spans="1:7" ht="16.5">
      <c r="A293" s="695"/>
      <c r="B293" s="377"/>
      <c r="C293" s="377"/>
      <c r="D293" s="377"/>
      <c r="E293" s="377"/>
      <c r="F293" s="377"/>
      <c r="G293" s="377"/>
    </row>
    <row r="294" spans="1:7" ht="16.5">
      <c r="A294" s="695"/>
      <c r="B294" s="377"/>
      <c r="C294" s="377"/>
      <c r="D294" s="377"/>
      <c r="E294" s="377"/>
      <c r="F294" s="377"/>
      <c r="G294" s="377"/>
    </row>
    <row r="295" spans="1:7" ht="16.5">
      <c r="A295" s="695"/>
      <c r="B295" s="377"/>
      <c r="C295" s="377"/>
      <c r="D295" s="377"/>
      <c r="E295" s="377"/>
      <c r="F295" s="377"/>
      <c r="G295" s="377"/>
    </row>
    <row r="296" spans="1:7" ht="16.5">
      <c r="A296" s="695"/>
      <c r="B296" s="377"/>
      <c r="C296" s="377"/>
      <c r="D296" s="377"/>
      <c r="E296" s="377"/>
      <c r="F296" s="377"/>
      <c r="G296" s="377"/>
    </row>
    <row r="297" spans="1:7" ht="16.5">
      <c r="A297" s="695"/>
      <c r="B297" s="377"/>
      <c r="C297" s="377"/>
      <c r="D297" s="377"/>
      <c r="E297" s="377"/>
      <c r="F297" s="377"/>
      <c r="G297" s="377"/>
    </row>
    <row r="298" spans="1:7" ht="16.5">
      <c r="A298" s="695"/>
      <c r="B298" s="377"/>
      <c r="C298" s="377"/>
      <c r="D298" s="377"/>
      <c r="E298" s="377"/>
      <c r="F298" s="377"/>
      <c r="G298" s="377"/>
    </row>
    <row r="299" spans="1:7" ht="16.5">
      <c r="A299" s="695"/>
      <c r="B299" s="377"/>
      <c r="C299" s="377"/>
      <c r="D299" s="377"/>
      <c r="E299" s="377"/>
      <c r="F299" s="377"/>
      <c r="G299" s="377"/>
    </row>
    <row r="300" spans="1:7" ht="16.5">
      <c r="A300" s="695"/>
      <c r="B300" s="377"/>
      <c r="C300" s="377"/>
      <c r="D300" s="377"/>
      <c r="E300" s="377"/>
      <c r="F300" s="377"/>
      <c r="G300" s="377"/>
    </row>
    <row r="301" spans="1:7" ht="16.5">
      <c r="A301" s="695"/>
      <c r="B301" s="377"/>
      <c r="C301" s="377"/>
      <c r="D301" s="377"/>
      <c r="E301" s="377"/>
      <c r="F301" s="377"/>
      <c r="G301" s="377"/>
    </row>
    <row r="302" spans="1:7" ht="16.5">
      <c r="A302" s="695"/>
      <c r="B302" s="377"/>
      <c r="C302" s="377"/>
      <c r="D302" s="377"/>
      <c r="E302" s="377"/>
      <c r="F302" s="377"/>
      <c r="G302" s="377"/>
    </row>
    <row r="303" spans="1:7" ht="16.5">
      <c r="A303" s="695"/>
      <c r="B303" s="377"/>
      <c r="C303" s="377"/>
      <c r="D303" s="377"/>
      <c r="E303" s="377"/>
      <c r="F303" s="377"/>
      <c r="G303" s="377"/>
    </row>
    <row r="304" spans="1:7" ht="16.5">
      <c r="A304" s="695"/>
      <c r="B304" s="377"/>
      <c r="C304" s="377"/>
      <c r="D304" s="377"/>
      <c r="E304" s="377"/>
      <c r="F304" s="377"/>
      <c r="G304" s="377"/>
    </row>
    <row r="305" spans="1:7" ht="16.5">
      <c r="A305" s="695"/>
      <c r="B305" s="377"/>
      <c r="C305" s="377"/>
      <c r="D305" s="377"/>
      <c r="E305" s="377"/>
      <c r="F305" s="377"/>
      <c r="G305" s="377"/>
    </row>
    <row r="306" spans="1:7" ht="16.5">
      <c r="A306" s="695"/>
      <c r="B306" s="377"/>
      <c r="C306" s="377"/>
      <c r="D306" s="377"/>
      <c r="E306" s="377"/>
      <c r="F306" s="377"/>
      <c r="G306" s="377"/>
    </row>
    <row r="307" spans="1:7" ht="16.5">
      <c r="A307" s="695"/>
      <c r="B307" s="377"/>
      <c r="C307" s="377"/>
      <c r="D307" s="377"/>
      <c r="E307" s="377"/>
      <c r="F307" s="377"/>
      <c r="G307" s="377"/>
    </row>
    <row r="308" spans="1:7" ht="16.5">
      <c r="A308" s="695"/>
      <c r="B308" s="377"/>
      <c r="C308" s="377"/>
      <c r="D308" s="377"/>
      <c r="E308" s="377"/>
      <c r="F308" s="377"/>
      <c r="G308" s="377"/>
    </row>
    <row r="309" spans="1:7" ht="16.5">
      <c r="A309" s="695"/>
      <c r="B309" s="377"/>
      <c r="C309" s="377"/>
      <c r="D309" s="377"/>
      <c r="E309" s="377"/>
      <c r="F309" s="377"/>
      <c r="G309" s="377"/>
    </row>
    <row r="310" spans="1:7" ht="16.5">
      <c r="A310" s="695"/>
      <c r="B310" s="377"/>
      <c r="C310" s="377"/>
      <c r="D310" s="377"/>
      <c r="E310" s="377"/>
      <c r="F310" s="377"/>
      <c r="G310" s="377"/>
    </row>
    <row r="311" spans="1:7" ht="16.5">
      <c r="A311" s="695"/>
      <c r="B311" s="377"/>
      <c r="C311" s="377"/>
      <c r="D311" s="377"/>
      <c r="E311" s="377"/>
      <c r="F311" s="377"/>
      <c r="G311" s="377"/>
    </row>
    <row r="312" spans="1:7" ht="16.5">
      <c r="A312" s="695"/>
      <c r="B312" s="377"/>
      <c r="C312" s="377"/>
      <c r="D312" s="377"/>
      <c r="E312" s="377"/>
      <c r="F312" s="377"/>
      <c r="G312" s="377"/>
    </row>
    <row r="313" spans="1:7" ht="16.5">
      <c r="A313" s="695"/>
      <c r="B313" s="377"/>
      <c r="C313" s="377"/>
      <c r="D313" s="377"/>
      <c r="E313" s="377"/>
      <c r="F313" s="377"/>
      <c r="G313" s="377"/>
    </row>
    <row r="314" spans="1:7" ht="16.5">
      <c r="A314" s="695"/>
      <c r="B314" s="377"/>
      <c r="C314" s="377"/>
      <c r="D314" s="377"/>
      <c r="E314" s="377"/>
      <c r="F314" s="377"/>
      <c r="G314" s="377"/>
    </row>
    <row r="315" spans="1:7" ht="16.5">
      <c r="A315" s="695"/>
      <c r="B315" s="377"/>
      <c r="C315" s="377"/>
      <c r="D315" s="377"/>
      <c r="E315" s="377"/>
      <c r="F315" s="377"/>
      <c r="G315" s="377"/>
    </row>
    <row r="316" spans="1:7" ht="16.5">
      <c r="A316" s="695"/>
      <c r="B316" s="377"/>
      <c r="C316" s="377"/>
      <c r="D316" s="377"/>
      <c r="E316" s="377"/>
      <c r="F316" s="377"/>
      <c r="G316" s="377"/>
    </row>
    <row r="317" spans="1:7" ht="16.5">
      <c r="A317" s="695"/>
      <c r="B317" s="377"/>
      <c r="C317" s="377"/>
      <c r="D317" s="377"/>
      <c r="E317" s="377"/>
      <c r="F317" s="377"/>
      <c r="G317" s="377"/>
    </row>
    <row r="318" spans="1:7" ht="16.5">
      <c r="A318" s="695"/>
      <c r="B318" s="377"/>
      <c r="C318" s="377"/>
      <c r="D318" s="377"/>
      <c r="E318" s="377"/>
      <c r="F318" s="377"/>
      <c r="G318" s="377"/>
    </row>
    <row r="319" spans="1:7" ht="16.5">
      <c r="A319" s="695"/>
      <c r="B319" s="377"/>
      <c r="C319" s="377"/>
      <c r="D319" s="377"/>
      <c r="E319" s="377"/>
      <c r="F319" s="377"/>
      <c r="G319" s="377"/>
    </row>
    <row r="320" spans="1:7" ht="16.5">
      <c r="A320" s="695"/>
      <c r="B320" s="377"/>
      <c r="C320" s="377"/>
      <c r="D320" s="377"/>
      <c r="E320" s="377"/>
      <c r="F320" s="377"/>
      <c r="G320" s="377"/>
    </row>
    <row r="321" spans="1:7" ht="16.5">
      <c r="A321" s="695"/>
      <c r="B321" s="377"/>
      <c r="C321" s="377"/>
      <c r="D321" s="377"/>
      <c r="E321" s="377"/>
      <c r="F321" s="377"/>
      <c r="G321" s="377"/>
    </row>
    <row r="322" spans="1:7" ht="16.5">
      <c r="A322" s="695"/>
      <c r="B322" s="377"/>
      <c r="C322" s="377"/>
      <c r="D322" s="377"/>
      <c r="E322" s="377"/>
      <c r="F322" s="377"/>
      <c r="G322" s="377"/>
    </row>
    <row r="323" spans="1:7" ht="16.5">
      <c r="A323" s="695"/>
      <c r="B323" s="377"/>
      <c r="C323" s="377"/>
      <c r="D323" s="377"/>
      <c r="E323" s="377"/>
      <c r="F323" s="377"/>
      <c r="G323" s="377"/>
    </row>
    <row r="324" spans="1:7" ht="16.5">
      <c r="A324" s="695"/>
      <c r="B324" s="377"/>
      <c r="C324" s="377"/>
      <c r="D324" s="377"/>
      <c r="E324" s="377"/>
      <c r="F324" s="377"/>
      <c r="G324" s="377"/>
    </row>
    <row r="325" spans="1:7" ht="16.5">
      <c r="A325" s="695"/>
      <c r="B325" s="377"/>
      <c r="C325" s="377"/>
      <c r="D325" s="377"/>
      <c r="E325" s="377"/>
      <c r="F325" s="377"/>
      <c r="G325" s="377"/>
    </row>
    <row r="326" spans="1:7" ht="16.5">
      <c r="A326" s="695"/>
      <c r="B326" s="377"/>
      <c r="C326" s="377"/>
      <c r="D326" s="377"/>
      <c r="E326" s="377"/>
      <c r="F326" s="377"/>
      <c r="G326" s="377"/>
    </row>
    <row r="327" spans="1:7" ht="16.5">
      <c r="A327" s="695"/>
      <c r="B327" s="377"/>
      <c r="C327" s="377"/>
      <c r="D327" s="377"/>
      <c r="E327" s="377"/>
      <c r="F327" s="377"/>
      <c r="G327" s="377"/>
    </row>
    <row r="328" spans="1:7" ht="16.5">
      <c r="A328" s="695"/>
      <c r="B328" s="377"/>
      <c r="C328" s="377"/>
      <c r="D328" s="377"/>
      <c r="E328" s="377"/>
      <c r="F328" s="377"/>
      <c r="G328" s="377"/>
    </row>
    <row r="329" spans="1:7" ht="16.5">
      <c r="A329" s="695"/>
      <c r="B329" s="377"/>
      <c r="C329" s="377"/>
      <c r="D329" s="377"/>
      <c r="E329" s="377"/>
      <c r="F329" s="377"/>
      <c r="G329" s="377"/>
    </row>
    <row r="330" spans="1:7" ht="16.5">
      <c r="A330" s="695"/>
      <c r="B330" s="377"/>
      <c r="C330" s="377"/>
      <c r="D330" s="377"/>
      <c r="E330" s="377"/>
      <c r="F330" s="377"/>
      <c r="G330" s="377"/>
    </row>
    <row r="331" spans="1:7" ht="16.5">
      <c r="A331" s="695"/>
      <c r="B331" s="377"/>
      <c r="C331" s="377"/>
      <c r="D331" s="377"/>
      <c r="E331" s="377"/>
      <c r="F331" s="377"/>
      <c r="G331" s="377"/>
    </row>
    <row r="332" spans="1:7" ht="16.5">
      <c r="A332" s="695"/>
      <c r="B332" s="377"/>
      <c r="C332" s="377"/>
      <c r="D332" s="377"/>
      <c r="E332" s="377"/>
      <c r="F332" s="377"/>
      <c r="G332" s="377"/>
    </row>
    <row r="333" spans="1:7" ht="16.5">
      <c r="A333" s="695"/>
      <c r="B333" s="377"/>
      <c r="C333" s="377"/>
      <c r="D333" s="377"/>
      <c r="E333" s="377"/>
      <c r="F333" s="377"/>
      <c r="G333" s="377"/>
    </row>
    <row r="334" spans="1:7" ht="16.5">
      <c r="A334" s="695"/>
      <c r="B334" s="377"/>
      <c r="C334" s="377"/>
      <c r="D334" s="377"/>
      <c r="E334" s="377"/>
      <c r="F334" s="377"/>
      <c r="G334" s="377"/>
    </row>
    <row r="335" spans="1:7" ht="16.5">
      <c r="A335" s="695"/>
      <c r="B335" s="377"/>
      <c r="C335" s="377"/>
      <c r="D335" s="377"/>
      <c r="E335" s="377"/>
      <c r="F335" s="377"/>
      <c r="G335" s="377"/>
    </row>
    <row r="336" spans="1:7" ht="16.5">
      <c r="A336" s="695"/>
      <c r="B336" s="377"/>
      <c r="C336" s="377"/>
      <c r="D336" s="377"/>
      <c r="E336" s="377"/>
      <c r="F336" s="377"/>
      <c r="G336" s="377"/>
    </row>
    <row r="337" spans="1:7" ht="16.5">
      <c r="A337" s="695"/>
      <c r="B337" s="377"/>
      <c r="C337" s="377"/>
      <c r="D337" s="377"/>
      <c r="E337" s="377"/>
      <c r="F337" s="377"/>
      <c r="G337" s="377"/>
    </row>
    <row r="338" spans="1:7" ht="16.5">
      <c r="A338" s="695"/>
      <c r="B338" s="377"/>
      <c r="C338" s="377"/>
      <c r="D338" s="377"/>
      <c r="E338" s="377"/>
      <c r="F338" s="377"/>
      <c r="G338" s="377"/>
    </row>
    <row r="339" spans="1:7" ht="16.5">
      <c r="A339" s="695"/>
      <c r="B339" s="377"/>
      <c r="C339" s="377"/>
      <c r="D339" s="377"/>
      <c r="E339" s="377"/>
      <c r="F339" s="377"/>
      <c r="G339" s="377"/>
    </row>
    <row r="340" spans="1:7" ht="16.5">
      <c r="A340" s="695"/>
      <c r="B340" s="377"/>
      <c r="C340" s="377"/>
      <c r="D340" s="377"/>
      <c r="E340" s="377"/>
      <c r="F340" s="377"/>
      <c r="G340" s="377"/>
    </row>
    <row r="341" spans="1:7" ht="16.5">
      <c r="A341" s="695"/>
      <c r="B341" s="377"/>
      <c r="C341" s="377"/>
      <c r="D341" s="377"/>
      <c r="E341" s="377"/>
      <c r="F341" s="377"/>
      <c r="G341" s="377"/>
    </row>
    <row r="342" spans="1:7" ht="16.5">
      <c r="A342" s="695"/>
      <c r="B342" s="377"/>
      <c r="C342" s="377"/>
      <c r="D342" s="377"/>
      <c r="E342" s="377"/>
      <c r="F342" s="377"/>
      <c r="G342" s="377"/>
    </row>
    <row r="343" spans="1:7" ht="16.5">
      <c r="A343" s="695"/>
      <c r="B343" s="377"/>
      <c r="C343" s="377"/>
      <c r="D343" s="377"/>
      <c r="E343" s="377"/>
      <c r="F343" s="377"/>
      <c r="G343" s="377"/>
    </row>
    <row r="344" spans="1:7" ht="16.5">
      <c r="A344" s="695"/>
      <c r="B344" s="377"/>
      <c r="C344" s="377"/>
      <c r="D344" s="377"/>
      <c r="E344" s="377"/>
      <c r="F344" s="377"/>
      <c r="G344" s="377"/>
    </row>
    <row r="345" spans="1:7" ht="16.5">
      <c r="A345" s="695"/>
      <c r="B345" s="377"/>
      <c r="C345" s="377"/>
      <c r="D345" s="377"/>
      <c r="E345" s="377"/>
      <c r="F345" s="377"/>
      <c r="G345" s="377"/>
    </row>
    <row r="346" spans="1:7" ht="16.5">
      <c r="A346" s="695"/>
      <c r="B346" s="377"/>
      <c r="C346" s="377"/>
      <c r="D346" s="377"/>
      <c r="E346" s="377"/>
      <c r="F346" s="377"/>
      <c r="G346" s="377"/>
    </row>
    <row r="347" spans="1:7" ht="16.5">
      <c r="A347" s="695"/>
      <c r="B347" s="377"/>
      <c r="C347" s="377"/>
      <c r="D347" s="377"/>
      <c r="E347" s="377"/>
      <c r="F347" s="377"/>
      <c r="G347" s="377"/>
    </row>
    <row r="348" spans="1:7" ht="16.5">
      <c r="A348" s="695"/>
      <c r="B348" s="377"/>
      <c r="C348" s="377"/>
      <c r="D348" s="377"/>
      <c r="E348" s="377"/>
      <c r="F348" s="377"/>
      <c r="G348" s="377"/>
    </row>
    <row r="349" spans="1:7" ht="16.5">
      <c r="A349" s="695"/>
      <c r="B349" s="377"/>
      <c r="C349" s="377"/>
      <c r="D349" s="377"/>
      <c r="E349" s="377"/>
      <c r="F349" s="377"/>
      <c r="G349" s="377"/>
    </row>
    <row r="350" spans="1:7" ht="16.5">
      <c r="A350" s="695"/>
      <c r="B350" s="377"/>
      <c r="C350" s="377"/>
      <c r="D350" s="377"/>
      <c r="E350" s="377"/>
      <c r="F350" s="377"/>
      <c r="G350" s="377"/>
    </row>
    <row r="351" spans="1:7" ht="16.5">
      <c r="A351" s="695"/>
      <c r="B351" s="377"/>
      <c r="C351" s="377"/>
      <c r="D351" s="377"/>
      <c r="E351" s="377"/>
      <c r="F351" s="377"/>
      <c r="G351" s="377"/>
    </row>
    <row r="352" spans="1:7" ht="16.5">
      <c r="A352" s="695"/>
      <c r="B352" s="377"/>
      <c r="C352" s="377"/>
      <c r="D352" s="377"/>
      <c r="E352" s="377"/>
      <c r="F352" s="377"/>
      <c r="G352" s="377"/>
    </row>
    <row r="353" spans="1:7" ht="16.5">
      <c r="A353" s="695"/>
      <c r="B353" s="377"/>
      <c r="C353" s="377"/>
      <c r="D353" s="377"/>
      <c r="E353" s="377"/>
      <c r="F353" s="377"/>
      <c r="G353" s="377"/>
    </row>
    <row r="354" spans="1:7" ht="16.5">
      <c r="A354" s="695"/>
      <c r="B354" s="377"/>
      <c r="C354" s="377"/>
      <c r="D354" s="377"/>
      <c r="E354" s="377"/>
      <c r="F354" s="377"/>
      <c r="G354" s="377"/>
    </row>
    <row r="355" spans="1:7" ht="16.5">
      <c r="A355" s="695"/>
      <c r="B355" s="377"/>
      <c r="C355" s="377"/>
      <c r="D355" s="377"/>
      <c r="E355" s="377"/>
      <c r="F355" s="377"/>
      <c r="G355" s="377"/>
    </row>
    <row r="356" spans="1:7" ht="16.5">
      <c r="A356" s="695"/>
      <c r="B356" s="377"/>
      <c r="C356" s="377"/>
      <c r="D356" s="377"/>
      <c r="E356" s="377"/>
      <c r="F356" s="377"/>
      <c r="G356" s="377"/>
    </row>
    <row r="357" spans="1:7" ht="16.5">
      <c r="A357" s="695"/>
      <c r="B357" s="377"/>
      <c r="C357" s="377"/>
      <c r="D357" s="377"/>
      <c r="E357" s="377"/>
      <c r="F357" s="377"/>
      <c r="G357" s="377"/>
    </row>
    <row r="358" spans="1:7" ht="16.5">
      <c r="A358" s="695"/>
      <c r="B358" s="377"/>
      <c r="C358" s="377"/>
      <c r="D358" s="377"/>
      <c r="E358" s="377"/>
      <c r="F358" s="377"/>
      <c r="G358" s="377"/>
    </row>
    <row r="359" spans="1:7" ht="16.5">
      <c r="A359" s="695"/>
      <c r="B359" s="377"/>
      <c r="C359" s="377"/>
      <c r="D359" s="377"/>
      <c r="E359" s="377"/>
      <c r="F359" s="377"/>
      <c r="G359" s="377"/>
    </row>
    <row r="360" spans="1:7" ht="16.5">
      <c r="A360" s="695"/>
      <c r="B360" s="377"/>
      <c r="C360" s="377"/>
      <c r="D360" s="377"/>
      <c r="E360" s="377"/>
      <c r="F360" s="377"/>
      <c r="G360" s="377"/>
    </row>
    <row r="361" spans="1:7" ht="16.5">
      <c r="A361" s="695"/>
      <c r="B361" s="377"/>
      <c r="C361" s="377"/>
      <c r="D361" s="377"/>
      <c r="E361" s="377"/>
      <c r="F361" s="377"/>
      <c r="G361" s="377"/>
    </row>
    <row r="362" spans="1:7" ht="16.5">
      <c r="A362" s="695"/>
      <c r="B362" s="377"/>
      <c r="C362" s="377"/>
      <c r="D362" s="377"/>
      <c r="E362" s="377"/>
      <c r="F362" s="377"/>
      <c r="G362" s="377"/>
    </row>
    <row r="363" spans="1:7" ht="16.5">
      <c r="A363" s="695"/>
      <c r="B363" s="377"/>
      <c r="C363" s="377"/>
      <c r="D363" s="377"/>
      <c r="E363" s="377"/>
      <c r="F363" s="377"/>
      <c r="G363" s="377"/>
    </row>
    <row r="364" spans="1:7" ht="16.5">
      <c r="A364" s="695"/>
      <c r="B364" s="377"/>
      <c r="C364" s="377"/>
      <c r="D364" s="377"/>
      <c r="E364" s="377"/>
      <c r="F364" s="377"/>
      <c r="G364" s="377"/>
    </row>
    <row r="365" spans="1:7" ht="16.5">
      <c r="A365" s="695"/>
      <c r="B365" s="377"/>
      <c r="C365" s="377"/>
      <c r="D365" s="377"/>
      <c r="E365" s="377"/>
      <c r="F365" s="377"/>
      <c r="G365" s="377"/>
    </row>
    <row r="366" spans="1:7" ht="16.5">
      <c r="A366" s="695"/>
      <c r="B366" s="377"/>
      <c r="C366" s="377"/>
      <c r="D366" s="377"/>
      <c r="E366" s="377"/>
      <c r="F366" s="377"/>
      <c r="G366" s="377"/>
    </row>
    <row r="367" spans="1:7" ht="16.5">
      <c r="A367" s="695"/>
      <c r="B367" s="377"/>
      <c r="C367" s="377"/>
      <c r="D367" s="377"/>
      <c r="E367" s="377"/>
      <c r="F367" s="377"/>
      <c r="G367" s="377"/>
    </row>
    <row r="368" spans="1:7" ht="16.5">
      <c r="A368" s="695"/>
      <c r="B368" s="377"/>
      <c r="C368" s="377"/>
      <c r="D368" s="377"/>
      <c r="E368" s="377"/>
      <c r="F368" s="377"/>
      <c r="G368" s="377"/>
    </row>
    <row r="369" spans="1:7" ht="16.5">
      <c r="A369" s="695"/>
      <c r="B369" s="377"/>
      <c r="C369" s="377"/>
      <c r="D369" s="377"/>
      <c r="E369" s="377"/>
      <c r="F369" s="377"/>
      <c r="G369" s="377"/>
    </row>
    <row r="370" spans="1:7" ht="16.5">
      <c r="A370" s="695"/>
      <c r="B370" s="377"/>
      <c r="C370" s="377"/>
      <c r="D370" s="377"/>
      <c r="E370" s="377"/>
      <c r="F370" s="377"/>
      <c r="G370" s="377"/>
    </row>
    <row r="371" spans="1:7" ht="16.5">
      <c r="A371" s="695"/>
      <c r="B371" s="377"/>
      <c r="C371" s="377"/>
      <c r="D371" s="377"/>
      <c r="E371" s="377"/>
      <c r="F371" s="377"/>
      <c r="G371" s="377"/>
    </row>
    <row r="372" spans="1:7" ht="16.5">
      <c r="A372" s="695"/>
      <c r="B372" s="377"/>
      <c r="C372" s="377"/>
      <c r="D372" s="377"/>
      <c r="E372" s="377"/>
      <c r="F372" s="377"/>
      <c r="G372" s="377"/>
    </row>
    <row r="373" spans="1:7" ht="16.5">
      <c r="A373" s="695"/>
      <c r="B373" s="377"/>
      <c r="C373" s="377"/>
      <c r="D373" s="377"/>
      <c r="E373" s="377"/>
      <c r="F373" s="377"/>
      <c r="G373" s="377"/>
    </row>
    <row r="374" spans="1:7" ht="16.5">
      <c r="A374" s="695"/>
      <c r="B374" s="377"/>
      <c r="C374" s="377"/>
      <c r="D374" s="377"/>
      <c r="E374" s="377"/>
      <c r="F374" s="377"/>
      <c r="G374" s="377"/>
    </row>
    <row r="375" spans="1:7" ht="16.5">
      <c r="A375" s="695"/>
      <c r="B375" s="377"/>
      <c r="C375" s="377"/>
      <c r="D375" s="377"/>
      <c r="E375" s="377"/>
      <c r="F375" s="377"/>
      <c r="G375" s="377"/>
    </row>
    <row r="376" spans="1:7" ht="16.5">
      <c r="A376" s="695"/>
      <c r="B376" s="377"/>
      <c r="C376" s="377"/>
      <c r="D376" s="377"/>
      <c r="E376" s="377"/>
      <c r="F376" s="377"/>
      <c r="G376" s="377"/>
    </row>
    <row r="377" spans="1:7" ht="16.5">
      <c r="A377" s="695"/>
      <c r="B377" s="377"/>
      <c r="C377" s="377"/>
      <c r="D377" s="377"/>
      <c r="E377" s="377"/>
      <c r="F377" s="377"/>
      <c r="G377" s="377"/>
    </row>
    <row r="378" spans="1:7" ht="16.5">
      <c r="A378" s="695"/>
      <c r="B378" s="377"/>
      <c r="C378" s="377"/>
      <c r="D378" s="377"/>
      <c r="E378" s="377"/>
      <c r="F378" s="377"/>
      <c r="G378" s="377"/>
    </row>
    <row r="379" spans="1:7" ht="16.5">
      <c r="A379" s="695"/>
      <c r="B379" s="377"/>
      <c r="C379" s="377"/>
      <c r="D379" s="377"/>
      <c r="E379" s="377"/>
      <c r="F379" s="377"/>
      <c r="G379" s="377"/>
    </row>
    <row r="380" spans="1:7" ht="16.5">
      <c r="A380" s="695"/>
      <c r="B380" s="377"/>
      <c r="C380" s="377"/>
      <c r="D380" s="377"/>
      <c r="E380" s="377"/>
      <c r="F380" s="377"/>
      <c r="G380" s="377"/>
    </row>
    <row r="381" spans="1:7" ht="16.5">
      <c r="A381" s="695"/>
      <c r="B381" s="377"/>
      <c r="C381" s="377"/>
      <c r="D381" s="377"/>
      <c r="E381" s="377"/>
      <c r="F381" s="377"/>
      <c r="G381" s="377"/>
    </row>
    <row r="382" spans="1:7" ht="16.5">
      <c r="A382" s="695"/>
      <c r="B382" s="377"/>
      <c r="C382" s="377"/>
      <c r="D382" s="377"/>
      <c r="E382" s="377"/>
      <c r="F382" s="377"/>
      <c r="G382" s="377"/>
    </row>
    <row r="383" spans="1:7" ht="16.5">
      <c r="A383" s="695"/>
      <c r="B383" s="377"/>
      <c r="C383" s="377"/>
      <c r="D383" s="377"/>
      <c r="E383" s="377"/>
      <c r="F383" s="377"/>
      <c r="G383" s="377"/>
    </row>
    <row r="384" spans="1:7" ht="16.5">
      <c r="A384" s="695"/>
      <c r="B384" s="377"/>
      <c r="C384" s="377"/>
      <c r="D384" s="377"/>
      <c r="E384" s="377"/>
      <c r="F384" s="377"/>
      <c r="G384" s="377"/>
    </row>
    <row r="385" spans="1:7" ht="16.5">
      <c r="A385" s="695"/>
      <c r="B385" s="377"/>
      <c r="C385" s="377"/>
      <c r="D385" s="377"/>
      <c r="E385" s="377"/>
      <c r="F385" s="377"/>
      <c r="G385" s="377"/>
    </row>
    <row r="386" spans="1:7" ht="16.5">
      <c r="A386" s="695"/>
      <c r="B386" s="377"/>
      <c r="C386" s="377"/>
      <c r="D386" s="377"/>
      <c r="E386" s="377"/>
      <c r="F386" s="377"/>
      <c r="G386" s="377"/>
    </row>
    <row r="387" spans="1:7" ht="16.5">
      <c r="A387" s="695"/>
      <c r="B387" s="377"/>
      <c r="C387" s="377"/>
      <c r="D387" s="377"/>
      <c r="E387" s="377"/>
      <c r="F387" s="377"/>
      <c r="G387" s="377"/>
    </row>
    <row r="388" spans="1:7" ht="16.5">
      <c r="A388" s="695"/>
      <c r="B388" s="377"/>
      <c r="C388" s="377"/>
      <c r="D388" s="377"/>
      <c r="E388" s="377"/>
      <c r="F388" s="377"/>
      <c r="G388" s="377"/>
    </row>
    <row r="389" spans="1:7" ht="16.5">
      <c r="A389" s="695"/>
      <c r="B389" s="377"/>
      <c r="C389" s="377"/>
      <c r="D389" s="377"/>
      <c r="E389" s="377"/>
      <c r="F389" s="377"/>
      <c r="G389" s="377"/>
    </row>
    <row r="390" spans="1:7" ht="16.5">
      <c r="A390" s="695"/>
      <c r="B390" s="377"/>
      <c r="C390" s="377"/>
      <c r="D390" s="377"/>
      <c r="E390" s="377"/>
      <c r="F390" s="377"/>
      <c r="G390" s="377"/>
    </row>
    <row r="391" spans="1:7" ht="16.5">
      <c r="A391" s="695"/>
      <c r="B391" s="377"/>
      <c r="C391" s="377"/>
      <c r="D391" s="377"/>
      <c r="E391" s="377"/>
      <c r="F391" s="377"/>
      <c r="G391" s="377"/>
    </row>
    <row r="392" spans="1:7" ht="16.5">
      <c r="A392" s="695"/>
      <c r="B392" s="377"/>
      <c r="C392" s="377"/>
      <c r="D392" s="377"/>
      <c r="E392" s="377"/>
      <c r="F392" s="377"/>
      <c r="G392" s="377"/>
    </row>
    <row r="393" spans="1:7" ht="16.5">
      <c r="A393" s="695"/>
      <c r="B393" s="377"/>
      <c r="C393" s="377"/>
      <c r="D393" s="377"/>
      <c r="E393" s="377"/>
      <c r="F393" s="377"/>
      <c r="G393" s="377"/>
    </row>
    <row r="394" spans="1:7" ht="16.5">
      <c r="A394" s="695"/>
      <c r="B394" s="377"/>
      <c r="C394" s="377"/>
      <c r="D394" s="377"/>
      <c r="E394" s="377"/>
      <c r="F394" s="377"/>
      <c r="G394" s="377"/>
    </row>
    <row r="395" spans="1:7" ht="16.5">
      <c r="A395" s="695"/>
      <c r="B395" s="377"/>
      <c r="C395" s="377"/>
      <c r="D395" s="377"/>
      <c r="E395" s="377"/>
      <c r="F395" s="377"/>
      <c r="G395" s="377"/>
    </row>
    <row r="396" spans="1:7" ht="16.5">
      <c r="A396" s="695"/>
      <c r="B396" s="377"/>
      <c r="C396" s="377"/>
      <c r="D396" s="377"/>
      <c r="E396" s="377"/>
      <c r="F396" s="377"/>
      <c r="G396" s="377"/>
    </row>
    <row r="397" spans="1:7" ht="16.5">
      <c r="A397" s="695"/>
      <c r="B397" s="377"/>
      <c r="C397" s="377"/>
      <c r="D397" s="377"/>
      <c r="E397" s="377"/>
      <c r="F397" s="377"/>
      <c r="G397" s="377"/>
    </row>
    <row r="398" spans="1:7" ht="16.5">
      <c r="A398" s="695"/>
      <c r="B398" s="377"/>
      <c r="C398" s="377"/>
      <c r="D398" s="377"/>
      <c r="E398" s="377"/>
      <c r="F398" s="377"/>
      <c r="G398" s="377"/>
    </row>
    <row r="399" spans="1:7" ht="16.5">
      <c r="A399" s="695"/>
      <c r="B399" s="377"/>
      <c r="C399" s="377"/>
      <c r="D399" s="377"/>
      <c r="E399" s="377"/>
      <c r="F399" s="377"/>
      <c r="G399" s="377"/>
    </row>
    <row r="400" spans="1:7" ht="16.5">
      <c r="A400" s="695"/>
      <c r="B400" s="377"/>
      <c r="C400" s="377"/>
      <c r="D400" s="377"/>
      <c r="E400" s="377"/>
      <c r="F400" s="377"/>
      <c r="G400" s="377"/>
    </row>
    <row r="401" spans="1:7" ht="16.5">
      <c r="A401" s="695"/>
      <c r="B401" s="377"/>
      <c r="C401" s="377"/>
      <c r="D401" s="377"/>
      <c r="E401" s="377"/>
      <c r="F401" s="377"/>
      <c r="G401" s="377"/>
    </row>
    <row r="402" spans="1:7" ht="16.5">
      <c r="A402" s="695"/>
      <c r="B402" s="377"/>
      <c r="C402" s="377"/>
      <c r="D402" s="377"/>
      <c r="E402" s="377"/>
      <c r="F402" s="377"/>
      <c r="G402" s="377"/>
    </row>
    <row r="403" spans="1:7" ht="16.5">
      <c r="A403" s="695"/>
      <c r="B403" s="377"/>
      <c r="C403" s="377"/>
      <c r="D403" s="377"/>
      <c r="E403" s="377"/>
      <c r="F403" s="377"/>
      <c r="G403" s="377"/>
    </row>
    <row r="404" spans="1:7" ht="16.5">
      <c r="A404" s="695"/>
      <c r="B404" s="377"/>
      <c r="C404" s="377"/>
      <c r="D404" s="377"/>
      <c r="E404" s="377"/>
      <c r="F404" s="377"/>
      <c r="G404" s="377"/>
    </row>
    <row r="405" spans="1:7" ht="16.5">
      <c r="A405" s="695"/>
      <c r="B405" s="377"/>
      <c r="C405" s="377"/>
      <c r="D405" s="377"/>
      <c r="E405" s="377"/>
      <c r="F405" s="377"/>
      <c r="G405" s="377"/>
    </row>
    <row r="406" spans="1:7" ht="16.5">
      <c r="A406" s="695"/>
      <c r="B406" s="377"/>
      <c r="C406" s="377"/>
      <c r="D406" s="377"/>
      <c r="E406" s="377"/>
      <c r="F406" s="377"/>
      <c r="G406" s="377"/>
    </row>
    <row r="407" spans="1:7" ht="16.5">
      <c r="A407" s="695"/>
      <c r="B407" s="377"/>
      <c r="C407" s="377"/>
      <c r="D407" s="377"/>
      <c r="E407" s="377"/>
      <c r="F407" s="377"/>
      <c r="G407" s="377"/>
    </row>
    <row r="408" spans="1:7" ht="16.5">
      <c r="A408" s="695"/>
      <c r="B408" s="377"/>
      <c r="C408" s="377"/>
      <c r="D408" s="377"/>
      <c r="E408" s="377"/>
      <c r="F408" s="377"/>
      <c r="G408" s="377"/>
    </row>
    <row r="409" spans="1:7" ht="16.5">
      <c r="A409" s="695"/>
      <c r="B409" s="377"/>
      <c r="C409" s="377"/>
      <c r="D409" s="377"/>
      <c r="E409" s="377"/>
      <c r="F409" s="377"/>
      <c r="G409" s="377"/>
    </row>
    <row r="410" spans="1:7" ht="16.5">
      <c r="A410" s="695"/>
      <c r="B410" s="377"/>
      <c r="C410" s="377"/>
      <c r="D410" s="377"/>
      <c r="E410" s="377"/>
      <c r="F410" s="377"/>
      <c r="G410" s="377"/>
    </row>
    <row r="411" spans="1:7" ht="16.5">
      <c r="A411" s="695"/>
      <c r="B411" s="377"/>
      <c r="C411" s="377"/>
      <c r="D411" s="377"/>
      <c r="E411" s="377"/>
      <c r="F411" s="377"/>
      <c r="G411" s="377"/>
    </row>
    <row r="412" spans="1:7" ht="16.5">
      <c r="A412" s="695"/>
      <c r="B412" s="377"/>
      <c r="C412" s="377"/>
      <c r="D412" s="377"/>
      <c r="E412" s="377"/>
      <c r="F412" s="377"/>
      <c r="G412" s="377"/>
    </row>
    <row r="413" spans="1:7" ht="16.5">
      <c r="A413" s="695"/>
      <c r="B413" s="377"/>
      <c r="C413" s="377"/>
      <c r="D413" s="377"/>
      <c r="E413" s="377"/>
      <c r="F413" s="377"/>
      <c r="G413" s="377"/>
    </row>
    <row r="414" spans="1:7" ht="16.5">
      <c r="A414" s="695"/>
      <c r="B414" s="377"/>
      <c r="C414" s="377"/>
      <c r="D414" s="377"/>
      <c r="E414" s="377"/>
      <c r="F414" s="377"/>
      <c r="G414" s="377"/>
    </row>
    <row r="415" spans="1:7" ht="16.5">
      <c r="A415" s="695"/>
      <c r="B415" s="377"/>
      <c r="C415" s="377"/>
      <c r="D415" s="377"/>
      <c r="E415" s="377"/>
      <c r="F415" s="377"/>
      <c r="G415" s="377"/>
    </row>
    <row r="416" spans="1:7" ht="16.5">
      <c r="A416" s="695"/>
      <c r="B416" s="377"/>
      <c r="C416" s="377"/>
      <c r="D416" s="377"/>
      <c r="E416" s="377"/>
      <c r="F416" s="377"/>
      <c r="G416" s="377"/>
    </row>
    <row r="417" spans="1:7" ht="16.5">
      <c r="A417" s="695"/>
      <c r="B417" s="377"/>
      <c r="C417" s="377"/>
      <c r="D417" s="377"/>
      <c r="E417" s="377"/>
      <c r="F417" s="377"/>
      <c r="G417" s="377"/>
    </row>
    <row r="418" spans="1:7" ht="16.5">
      <c r="A418" s="695"/>
      <c r="B418" s="377"/>
      <c r="C418" s="377"/>
      <c r="D418" s="377"/>
      <c r="E418" s="377"/>
      <c r="F418" s="377"/>
      <c r="G418" s="377"/>
    </row>
    <row r="419" spans="1:7" ht="16.5">
      <c r="A419" s="695"/>
      <c r="B419" s="377"/>
      <c r="C419" s="377"/>
      <c r="D419" s="377"/>
      <c r="E419" s="377"/>
      <c r="F419" s="377"/>
      <c r="G419" s="377"/>
    </row>
    <row r="420" spans="1:7" ht="16.5">
      <c r="A420" s="695"/>
      <c r="B420" s="377"/>
      <c r="C420" s="377"/>
      <c r="D420" s="377"/>
      <c r="E420" s="377"/>
      <c r="F420" s="377"/>
      <c r="G420" s="377"/>
    </row>
    <row r="421" spans="1:7" ht="16.5">
      <c r="A421" s="695"/>
      <c r="B421" s="377"/>
      <c r="C421" s="377"/>
      <c r="D421" s="377"/>
      <c r="E421" s="377"/>
      <c r="F421" s="377"/>
      <c r="G421" s="377"/>
    </row>
    <row r="422" spans="1:7" ht="16.5">
      <c r="A422" s="695"/>
      <c r="B422" s="377"/>
      <c r="C422" s="377"/>
      <c r="D422" s="377"/>
      <c r="E422" s="377"/>
      <c r="F422" s="377"/>
      <c r="G422" s="377"/>
    </row>
    <row r="423" spans="1:7" ht="16.5">
      <c r="A423" s="695"/>
      <c r="B423" s="377"/>
      <c r="C423" s="377"/>
      <c r="D423" s="377"/>
      <c r="E423" s="377"/>
      <c r="F423" s="377"/>
      <c r="G423" s="377"/>
    </row>
    <row r="424" spans="1:7" ht="16.5">
      <c r="A424" s="695"/>
      <c r="B424" s="377"/>
      <c r="C424" s="377"/>
      <c r="D424" s="377"/>
      <c r="E424" s="377"/>
      <c r="F424" s="377"/>
      <c r="G424" s="377"/>
    </row>
    <row r="425" spans="1:7" ht="16.5">
      <c r="A425" s="695"/>
      <c r="B425" s="377"/>
      <c r="C425" s="377"/>
      <c r="D425" s="377"/>
      <c r="E425" s="377"/>
      <c r="F425" s="377"/>
      <c r="G425" s="377"/>
    </row>
    <row r="426" spans="1:7" ht="16.5">
      <c r="A426" s="695"/>
      <c r="B426" s="377"/>
      <c r="C426" s="377"/>
      <c r="D426" s="377"/>
      <c r="E426" s="377"/>
      <c r="F426" s="377"/>
      <c r="G426" s="377"/>
    </row>
    <row r="427" spans="1:7" ht="16.5">
      <c r="A427" s="695"/>
      <c r="B427" s="377"/>
      <c r="C427" s="377"/>
      <c r="D427" s="377"/>
      <c r="E427" s="377"/>
      <c r="F427" s="377"/>
      <c r="G427" s="377"/>
    </row>
    <row r="428" spans="1:7" ht="16.5">
      <c r="A428" s="695"/>
      <c r="B428" s="377"/>
      <c r="C428" s="377"/>
      <c r="D428" s="377"/>
      <c r="E428" s="377"/>
      <c r="F428" s="377"/>
      <c r="G428" s="377"/>
    </row>
    <row r="429" spans="1:7" ht="16.5">
      <c r="A429" s="695"/>
      <c r="B429" s="377"/>
      <c r="C429" s="377"/>
      <c r="D429" s="377"/>
      <c r="E429" s="377"/>
      <c r="F429" s="377"/>
      <c r="G429" s="377"/>
    </row>
    <row r="430" spans="1:7" ht="16.5">
      <c r="A430" s="695"/>
      <c r="B430" s="377"/>
      <c r="C430" s="377"/>
      <c r="D430" s="377"/>
      <c r="E430" s="377"/>
      <c r="F430" s="377"/>
      <c r="G430" s="377"/>
    </row>
    <row r="431" spans="1:7" ht="16.5">
      <c r="A431" s="695"/>
      <c r="B431" s="377"/>
      <c r="C431" s="377"/>
      <c r="D431" s="377"/>
      <c r="E431" s="377"/>
      <c r="F431" s="377"/>
      <c r="G431" s="377"/>
    </row>
    <row r="432" spans="1:7" ht="16.5">
      <c r="A432" s="695"/>
      <c r="B432" s="377"/>
      <c r="C432" s="377"/>
      <c r="D432" s="377"/>
      <c r="E432" s="377"/>
      <c r="F432" s="377"/>
      <c r="G432" s="377"/>
    </row>
    <row r="433" spans="1:7" ht="16.5">
      <c r="A433" s="695"/>
      <c r="B433" s="377"/>
      <c r="C433" s="377"/>
      <c r="D433" s="377"/>
      <c r="E433" s="377"/>
      <c r="F433" s="377"/>
      <c r="G433" s="377"/>
    </row>
    <row r="434" spans="1:7" ht="16.5">
      <c r="A434" s="695"/>
      <c r="B434" s="377"/>
      <c r="C434" s="377"/>
      <c r="D434" s="377"/>
      <c r="E434" s="377"/>
      <c r="F434" s="377"/>
      <c r="G434" s="377"/>
    </row>
    <row r="435" spans="1:7" ht="16.5">
      <c r="A435" s="695"/>
      <c r="B435" s="377"/>
      <c r="C435" s="377"/>
      <c r="D435" s="377"/>
      <c r="E435" s="377"/>
      <c r="F435" s="377"/>
      <c r="G435" s="377"/>
    </row>
    <row r="436" spans="1:7" ht="16.5">
      <c r="A436" s="695"/>
      <c r="B436" s="377"/>
      <c r="C436" s="377"/>
      <c r="D436" s="377"/>
      <c r="E436" s="377"/>
      <c r="F436" s="377"/>
      <c r="G436" s="377"/>
    </row>
    <row r="437" spans="1:7" ht="16.5">
      <c r="A437" s="695"/>
      <c r="B437" s="377"/>
      <c r="C437" s="377"/>
      <c r="D437" s="377"/>
      <c r="E437" s="377"/>
      <c r="F437" s="377"/>
      <c r="G437" s="377"/>
    </row>
    <row r="438" spans="1:7" ht="16.5">
      <c r="A438" s="695"/>
      <c r="B438" s="377"/>
      <c r="C438" s="377"/>
      <c r="D438" s="377"/>
      <c r="E438" s="377"/>
      <c r="F438" s="377"/>
      <c r="G438" s="377"/>
    </row>
    <row r="439" spans="1:7" ht="16.5">
      <c r="A439" s="695"/>
      <c r="B439" s="377"/>
      <c r="C439" s="377"/>
      <c r="D439" s="377"/>
      <c r="E439" s="377"/>
      <c r="F439" s="377"/>
      <c r="G439" s="377"/>
    </row>
    <row r="440" spans="1:7" ht="16.5">
      <c r="A440" s="695"/>
      <c r="B440" s="377"/>
      <c r="C440" s="377"/>
      <c r="D440" s="377"/>
      <c r="E440" s="377"/>
      <c r="F440" s="377"/>
      <c r="G440" s="377"/>
    </row>
    <row r="441" spans="1:7" ht="16.5">
      <c r="A441" s="695"/>
      <c r="B441" s="377"/>
      <c r="C441" s="377"/>
      <c r="D441" s="377"/>
      <c r="E441" s="377"/>
      <c r="F441" s="377"/>
      <c r="G441" s="377"/>
    </row>
    <row r="442" spans="1:7" ht="16.5">
      <c r="A442" s="695"/>
      <c r="B442" s="377"/>
      <c r="C442" s="377"/>
      <c r="D442" s="377"/>
      <c r="E442" s="377"/>
      <c r="F442" s="377"/>
      <c r="G442" s="377"/>
    </row>
    <row r="443" spans="1:7" ht="16.5">
      <c r="A443" s="695"/>
      <c r="B443" s="377"/>
      <c r="C443" s="377"/>
      <c r="D443" s="377"/>
      <c r="E443" s="377"/>
      <c r="F443" s="377"/>
      <c r="G443" s="377"/>
    </row>
    <row r="444" spans="1:7" ht="16.5">
      <c r="A444" s="695"/>
      <c r="B444" s="377"/>
      <c r="C444" s="377"/>
      <c r="D444" s="377"/>
      <c r="E444" s="377"/>
      <c r="F444" s="377"/>
      <c r="G444" s="377"/>
    </row>
    <row r="445" spans="1:7" ht="16.5">
      <c r="A445" s="695"/>
      <c r="B445" s="377"/>
      <c r="C445" s="377"/>
      <c r="D445" s="377"/>
      <c r="E445" s="377"/>
      <c r="F445" s="377"/>
      <c r="G445" s="377"/>
    </row>
    <row r="446" spans="1:7" ht="16.5">
      <c r="A446" s="695"/>
      <c r="B446" s="377"/>
      <c r="C446" s="377"/>
      <c r="D446" s="377"/>
      <c r="E446" s="377"/>
      <c r="F446" s="377"/>
      <c r="G446" s="377"/>
    </row>
    <row r="447" spans="1:7" ht="16.5">
      <c r="A447" s="695"/>
      <c r="B447" s="377"/>
      <c r="C447" s="377"/>
      <c r="D447" s="377"/>
      <c r="E447" s="377"/>
      <c r="F447" s="377"/>
      <c r="G447" s="377"/>
    </row>
    <row r="448" spans="1:7" ht="16.5">
      <c r="A448" s="695"/>
      <c r="B448" s="377"/>
      <c r="C448" s="377"/>
      <c r="D448" s="377"/>
      <c r="E448" s="377"/>
      <c r="F448" s="377"/>
      <c r="G448" s="377"/>
    </row>
    <row r="449" spans="1:7" ht="16.5">
      <c r="A449" s="695"/>
      <c r="B449" s="377"/>
      <c r="C449" s="377"/>
      <c r="D449" s="377"/>
      <c r="E449" s="377"/>
      <c r="F449" s="377"/>
      <c r="G449" s="377"/>
    </row>
    <row r="450" spans="1:7" ht="16.5">
      <c r="A450" s="695"/>
      <c r="B450" s="377"/>
      <c r="C450" s="377"/>
      <c r="D450" s="377"/>
      <c r="E450" s="377"/>
      <c r="F450" s="377"/>
      <c r="G450" s="377"/>
    </row>
    <row r="451" spans="1:7" ht="16.5">
      <c r="A451" s="695"/>
      <c r="B451" s="377"/>
      <c r="C451" s="377"/>
      <c r="D451" s="377"/>
      <c r="E451" s="377"/>
      <c r="F451" s="377"/>
      <c r="G451" s="377"/>
    </row>
    <row r="452" spans="1:7" ht="16.5">
      <c r="A452" s="695"/>
      <c r="B452" s="377"/>
      <c r="C452" s="377"/>
      <c r="D452" s="377"/>
      <c r="E452" s="377"/>
      <c r="F452" s="377"/>
      <c r="G452" s="377"/>
    </row>
    <row r="453" spans="1:7" ht="16.5">
      <c r="A453" s="695"/>
      <c r="B453" s="377"/>
      <c r="C453" s="377"/>
      <c r="D453" s="377"/>
      <c r="E453" s="377"/>
      <c r="F453" s="377"/>
      <c r="G453" s="377"/>
    </row>
    <row r="454" spans="1:7" ht="16.5">
      <c r="A454" s="695"/>
      <c r="B454" s="377"/>
      <c r="C454" s="377"/>
      <c r="D454" s="377"/>
      <c r="E454" s="377"/>
      <c r="F454" s="377"/>
      <c r="G454" s="377"/>
    </row>
    <row r="455" spans="1:7" ht="16.5">
      <c r="A455" s="695"/>
      <c r="B455" s="377"/>
      <c r="C455" s="377"/>
      <c r="D455" s="377"/>
      <c r="E455" s="377"/>
      <c r="F455" s="377"/>
      <c r="G455" s="377"/>
    </row>
    <row r="456" spans="1:7" ht="16.5">
      <c r="A456" s="695"/>
      <c r="B456" s="377"/>
      <c r="C456" s="377"/>
      <c r="D456" s="377"/>
      <c r="E456" s="377"/>
      <c r="F456" s="377"/>
      <c r="G456" s="377"/>
    </row>
    <row r="457" spans="1:7" ht="16.5">
      <c r="A457" s="695"/>
      <c r="B457" s="377"/>
      <c r="C457" s="377"/>
      <c r="D457" s="377"/>
      <c r="E457" s="377"/>
      <c r="F457" s="377"/>
      <c r="G457" s="377"/>
    </row>
    <row r="458" spans="1:7" ht="16.5">
      <c r="A458" s="695"/>
      <c r="B458" s="377"/>
      <c r="C458" s="377"/>
      <c r="D458" s="377"/>
      <c r="E458" s="377"/>
      <c r="F458" s="377"/>
      <c r="G458" s="377"/>
    </row>
    <row r="459" spans="1:7" ht="16.5">
      <c r="A459" s="695"/>
      <c r="B459" s="377"/>
      <c r="C459" s="377"/>
      <c r="D459" s="377"/>
      <c r="E459" s="377"/>
      <c r="F459" s="377"/>
      <c r="G459" s="377"/>
    </row>
    <row r="460" spans="1:7" ht="16.5">
      <c r="A460" s="695"/>
      <c r="B460" s="377"/>
      <c r="C460" s="377"/>
      <c r="D460" s="377"/>
      <c r="E460" s="377"/>
      <c r="F460" s="377"/>
      <c r="G460" s="377"/>
    </row>
    <row r="461" spans="1:7" ht="16.5">
      <c r="A461" s="695"/>
      <c r="B461" s="377"/>
      <c r="C461" s="377"/>
      <c r="D461" s="377"/>
      <c r="E461" s="377"/>
      <c r="F461" s="377"/>
      <c r="G461" s="377"/>
    </row>
    <row r="462" spans="1:7" ht="16.5">
      <c r="A462" s="695"/>
      <c r="B462" s="377"/>
      <c r="C462" s="377"/>
      <c r="D462" s="377"/>
      <c r="E462" s="377"/>
      <c r="F462" s="377"/>
      <c r="G462" s="377"/>
    </row>
    <row r="463" spans="1:7" ht="16.5">
      <c r="A463" s="695"/>
      <c r="B463" s="377"/>
      <c r="C463" s="377"/>
      <c r="D463" s="377"/>
      <c r="E463" s="377"/>
      <c r="F463" s="377"/>
      <c r="G463" s="377"/>
    </row>
    <row r="464" spans="1:7" ht="16.5">
      <c r="A464" s="695"/>
      <c r="B464" s="377"/>
      <c r="C464" s="377"/>
      <c r="D464" s="377"/>
      <c r="E464" s="377"/>
      <c r="F464" s="377"/>
      <c r="G464" s="377"/>
    </row>
    <row r="465" spans="1:7" ht="16.5">
      <c r="A465" s="695"/>
      <c r="B465" s="377"/>
      <c r="C465" s="377"/>
      <c r="D465" s="377"/>
      <c r="E465" s="377"/>
      <c r="F465" s="377"/>
      <c r="G465" s="377"/>
    </row>
    <row r="466" spans="1:7" ht="16.5">
      <c r="A466" s="695"/>
      <c r="B466" s="377"/>
      <c r="C466" s="377"/>
      <c r="D466" s="377"/>
      <c r="E466" s="377"/>
      <c r="F466" s="377"/>
      <c r="G466" s="377"/>
    </row>
    <row r="467" spans="1:7" ht="16.5">
      <c r="A467" s="695"/>
      <c r="B467" s="377"/>
      <c r="C467" s="377"/>
      <c r="D467" s="377"/>
      <c r="E467" s="377"/>
      <c r="F467" s="377"/>
      <c r="G467" s="377"/>
    </row>
    <row r="468" spans="1:7" ht="16.5">
      <c r="A468" s="695"/>
      <c r="B468" s="377"/>
      <c r="C468" s="377"/>
      <c r="D468" s="377"/>
      <c r="E468" s="377"/>
      <c r="F468" s="377"/>
      <c r="G468" s="377"/>
    </row>
    <row r="469" spans="1:7" ht="16.5">
      <c r="A469" s="695"/>
      <c r="B469" s="377"/>
      <c r="C469" s="377"/>
      <c r="D469" s="377"/>
      <c r="E469" s="377"/>
      <c r="F469" s="377"/>
      <c r="G469" s="377"/>
    </row>
    <row r="470" spans="1:7" ht="16.5">
      <c r="A470" s="695"/>
      <c r="B470" s="377"/>
      <c r="C470" s="377"/>
      <c r="D470" s="377"/>
      <c r="E470" s="377"/>
      <c r="F470" s="377"/>
      <c r="G470" s="377"/>
    </row>
    <row r="471" spans="1:7" ht="16.5">
      <c r="A471" s="695"/>
      <c r="B471" s="377"/>
      <c r="C471" s="377"/>
      <c r="D471" s="377"/>
      <c r="E471" s="377"/>
      <c r="F471" s="377"/>
      <c r="G471" s="377"/>
    </row>
    <row r="472" spans="1:7" ht="16.5">
      <c r="A472" s="695"/>
      <c r="B472" s="377"/>
      <c r="C472" s="377"/>
      <c r="D472" s="377"/>
      <c r="E472" s="377"/>
      <c r="F472" s="377"/>
      <c r="G472" s="377"/>
    </row>
    <row r="473" spans="1:7" ht="16.5">
      <c r="A473" s="695"/>
      <c r="B473" s="377"/>
      <c r="C473" s="377"/>
      <c r="D473" s="377"/>
      <c r="E473" s="377"/>
      <c r="F473" s="377"/>
      <c r="G473" s="377"/>
    </row>
    <row r="474" spans="1:7" ht="16.5">
      <c r="A474" s="695"/>
      <c r="B474" s="377"/>
      <c r="C474" s="377"/>
      <c r="D474" s="377"/>
      <c r="E474" s="377"/>
      <c r="F474" s="377"/>
      <c r="G474" s="377"/>
    </row>
    <row r="475" spans="1:7" ht="16.5">
      <c r="A475" s="695"/>
      <c r="B475" s="377"/>
      <c r="C475" s="377"/>
      <c r="D475" s="377"/>
      <c r="E475" s="377"/>
      <c r="F475" s="377"/>
      <c r="G475" s="377"/>
    </row>
    <row r="476" spans="1:7" ht="16.5">
      <c r="A476" s="695"/>
      <c r="B476" s="377"/>
      <c r="C476" s="377"/>
      <c r="D476" s="377"/>
      <c r="E476" s="377"/>
      <c r="F476" s="377"/>
      <c r="G476" s="377"/>
    </row>
    <row r="477" spans="1:7" ht="16.5">
      <c r="A477" s="695"/>
      <c r="B477" s="377"/>
      <c r="C477" s="377"/>
      <c r="D477" s="377"/>
      <c r="E477" s="377"/>
      <c r="F477" s="377"/>
      <c r="G477" s="377"/>
    </row>
    <row r="478" spans="1:7" ht="16.5">
      <c r="A478" s="695"/>
      <c r="B478" s="377"/>
      <c r="C478" s="377"/>
      <c r="D478" s="377"/>
      <c r="E478" s="377"/>
      <c r="F478" s="377"/>
      <c r="G478" s="377"/>
    </row>
    <row r="479" spans="1:7" ht="16.5">
      <c r="A479" s="695"/>
      <c r="B479" s="377"/>
      <c r="C479" s="377"/>
      <c r="D479" s="377"/>
      <c r="E479" s="377"/>
      <c r="F479" s="377"/>
      <c r="G479" s="377"/>
    </row>
    <row r="480" spans="1:7" ht="16.5">
      <c r="A480" s="695"/>
      <c r="B480" s="377"/>
      <c r="C480" s="377"/>
      <c r="D480" s="377"/>
      <c r="E480" s="377"/>
      <c r="F480" s="377"/>
      <c r="G480" s="377"/>
    </row>
    <row r="481" spans="1:7" ht="16.5">
      <c r="A481" s="695"/>
      <c r="B481" s="377"/>
      <c r="C481" s="377"/>
      <c r="D481" s="377"/>
      <c r="E481" s="377"/>
      <c r="F481" s="377"/>
      <c r="G481" s="377"/>
    </row>
    <row r="482" spans="1:7" ht="16.5">
      <c r="A482" s="695"/>
      <c r="B482" s="377"/>
      <c r="C482" s="377"/>
      <c r="D482" s="377"/>
      <c r="E482" s="377"/>
      <c r="F482" s="377"/>
      <c r="G482" s="377"/>
    </row>
    <row r="483" spans="1:7" ht="16.5">
      <c r="A483" s="695"/>
      <c r="B483" s="377"/>
      <c r="C483" s="377"/>
      <c r="D483" s="377"/>
      <c r="E483" s="377"/>
      <c r="F483" s="377"/>
      <c r="G483" s="377"/>
    </row>
    <row r="484" spans="1:7" ht="16.5">
      <c r="A484" s="695"/>
      <c r="B484" s="377"/>
      <c r="C484" s="377"/>
      <c r="D484" s="377"/>
      <c r="E484" s="377"/>
      <c r="F484" s="377"/>
      <c r="G484" s="377"/>
    </row>
    <row r="485" spans="1:7" ht="16.5">
      <c r="A485" s="695"/>
      <c r="B485" s="377"/>
      <c r="C485" s="377"/>
      <c r="D485" s="377"/>
      <c r="E485" s="377"/>
      <c r="F485" s="377"/>
      <c r="G485" s="377"/>
    </row>
    <row r="486" spans="1:7" ht="16.5">
      <c r="A486" s="695"/>
      <c r="B486" s="377"/>
      <c r="C486" s="377"/>
      <c r="D486" s="377"/>
      <c r="E486" s="377"/>
      <c r="F486" s="377"/>
      <c r="G486" s="377"/>
    </row>
    <row r="487" spans="1:7" ht="16.5">
      <c r="A487" s="695"/>
      <c r="B487" s="377"/>
      <c r="C487" s="377"/>
      <c r="D487" s="377"/>
      <c r="E487" s="377"/>
      <c r="F487" s="377"/>
      <c r="G487" s="377"/>
    </row>
    <row r="488" spans="1:7" ht="16.5">
      <c r="A488" s="695"/>
      <c r="B488" s="377"/>
      <c r="C488" s="377"/>
      <c r="D488" s="377"/>
      <c r="E488" s="377"/>
      <c r="F488" s="377"/>
      <c r="G488" s="377"/>
    </row>
    <row r="489" spans="1:7" ht="16.5">
      <c r="A489" s="695"/>
      <c r="B489" s="377"/>
      <c r="C489" s="377"/>
      <c r="D489" s="377"/>
      <c r="E489" s="377"/>
      <c r="F489" s="377"/>
      <c r="G489" s="377"/>
    </row>
    <row r="490" spans="1:7" ht="16.5">
      <c r="A490" s="695"/>
      <c r="B490" s="377"/>
      <c r="C490" s="377"/>
      <c r="D490" s="377"/>
      <c r="E490" s="377"/>
      <c r="F490" s="377"/>
      <c r="G490" s="377"/>
    </row>
    <row r="491" spans="1:7" ht="16.5">
      <c r="A491" s="695"/>
      <c r="B491" s="377"/>
      <c r="C491" s="377"/>
      <c r="D491" s="377"/>
      <c r="E491" s="377"/>
      <c r="F491" s="377"/>
      <c r="G491" s="377"/>
    </row>
    <row r="492" spans="1:7" ht="16.5">
      <c r="A492" s="695"/>
      <c r="B492" s="377"/>
      <c r="C492" s="377"/>
      <c r="D492" s="377"/>
      <c r="E492" s="377"/>
      <c r="F492" s="377"/>
      <c r="G492" s="377"/>
    </row>
    <row r="493" spans="1:7" ht="16.5">
      <c r="A493" s="695"/>
      <c r="B493" s="377"/>
      <c r="C493" s="377"/>
      <c r="D493" s="377"/>
      <c r="E493" s="377"/>
      <c r="F493" s="377"/>
      <c r="G493" s="377"/>
    </row>
    <row r="494" spans="1:7" ht="16.5">
      <c r="A494" s="695"/>
      <c r="B494" s="377"/>
      <c r="C494" s="377"/>
      <c r="D494" s="377"/>
      <c r="E494" s="377"/>
      <c r="F494" s="377"/>
      <c r="G494" s="377"/>
    </row>
    <row r="495" spans="1:7" ht="16.5">
      <c r="A495" s="695"/>
      <c r="B495" s="377"/>
      <c r="C495" s="377"/>
      <c r="D495" s="377"/>
      <c r="E495" s="377"/>
      <c r="F495" s="377"/>
      <c r="G495" s="377"/>
    </row>
    <row r="496" spans="1:7" ht="16.5">
      <c r="A496" s="695"/>
      <c r="B496" s="377"/>
      <c r="C496" s="377"/>
      <c r="D496" s="377"/>
      <c r="E496" s="377"/>
      <c r="F496" s="377"/>
      <c r="G496" s="377"/>
    </row>
    <row r="497" spans="1:7" ht="16.5">
      <c r="A497" s="695"/>
      <c r="B497" s="377"/>
      <c r="C497" s="377"/>
      <c r="D497" s="377"/>
      <c r="E497" s="377"/>
      <c r="F497" s="377"/>
      <c r="G497" s="377"/>
    </row>
    <row r="498" spans="1:7" ht="16.5">
      <c r="A498" s="695"/>
      <c r="B498" s="377"/>
      <c r="C498" s="377"/>
      <c r="D498" s="377"/>
      <c r="E498" s="377"/>
      <c r="F498" s="377"/>
      <c r="G498" s="377"/>
    </row>
    <row r="499" spans="1:7" ht="16.5">
      <c r="A499" s="695"/>
      <c r="B499" s="377"/>
      <c r="C499" s="377"/>
      <c r="D499" s="377"/>
      <c r="E499" s="377"/>
      <c r="F499" s="377"/>
      <c r="G499" s="377"/>
    </row>
    <row r="500" spans="1:7" ht="16.5">
      <c r="A500" s="695"/>
      <c r="B500" s="377"/>
      <c r="C500" s="377"/>
      <c r="D500" s="377"/>
      <c r="E500" s="377"/>
      <c r="F500" s="377"/>
      <c r="G500" s="377"/>
    </row>
    <row r="501" spans="1:7" ht="16.5">
      <c r="A501" s="695"/>
      <c r="B501" s="377"/>
      <c r="C501" s="377"/>
      <c r="D501" s="377"/>
      <c r="E501" s="377"/>
      <c r="F501" s="377"/>
      <c r="G501" s="377"/>
    </row>
    <row r="502" spans="1:7" ht="16.5">
      <c r="A502" s="695"/>
      <c r="B502" s="377"/>
      <c r="C502" s="377"/>
      <c r="D502" s="377"/>
      <c r="E502" s="377"/>
      <c r="F502" s="377"/>
      <c r="G502" s="377"/>
    </row>
    <row r="503" spans="1:7" ht="16.5">
      <c r="A503" s="695"/>
      <c r="B503" s="377"/>
      <c r="C503" s="377"/>
      <c r="D503" s="377"/>
      <c r="E503" s="377"/>
      <c r="F503" s="377"/>
      <c r="G503" s="377"/>
    </row>
    <row r="504" spans="1:7" ht="16.5">
      <c r="A504" s="695"/>
      <c r="B504" s="377"/>
      <c r="C504" s="377"/>
      <c r="D504" s="377"/>
      <c r="E504" s="377"/>
      <c r="F504" s="377"/>
      <c r="G504" s="377"/>
    </row>
    <row r="505" spans="1:7" ht="16.5">
      <c r="A505" s="695"/>
      <c r="B505" s="377"/>
      <c r="C505" s="377"/>
      <c r="D505" s="377"/>
      <c r="E505" s="377"/>
      <c r="F505" s="377"/>
      <c r="G505" s="377"/>
    </row>
    <row r="506" spans="1:7" ht="16.5">
      <c r="A506" s="695"/>
      <c r="B506" s="377"/>
      <c r="C506" s="377"/>
      <c r="D506" s="377"/>
      <c r="E506" s="377"/>
      <c r="F506" s="377"/>
      <c r="G506" s="377"/>
    </row>
    <row r="507" spans="1:7" ht="16.5">
      <c r="A507" s="695"/>
      <c r="B507" s="377"/>
      <c r="C507" s="377"/>
      <c r="D507" s="377"/>
      <c r="E507" s="377"/>
      <c r="F507" s="377"/>
      <c r="G507" s="377"/>
    </row>
    <row r="508" spans="1:7" ht="16.5">
      <c r="A508" s="695"/>
      <c r="B508" s="377"/>
      <c r="C508" s="377"/>
      <c r="D508" s="377"/>
      <c r="E508" s="377"/>
      <c r="F508" s="377"/>
      <c r="G508" s="377"/>
    </row>
    <row r="509" spans="1:7" ht="16.5">
      <c r="A509" s="695"/>
      <c r="B509" s="377"/>
      <c r="C509" s="377"/>
      <c r="D509" s="377"/>
      <c r="E509" s="377"/>
      <c r="F509" s="377"/>
      <c r="G509" s="377"/>
    </row>
    <row r="510" spans="1:7" ht="16.5">
      <c r="A510" s="695"/>
      <c r="B510" s="377"/>
      <c r="C510" s="377"/>
      <c r="D510" s="377"/>
      <c r="E510" s="377"/>
      <c r="F510" s="377"/>
      <c r="G510" s="377"/>
    </row>
    <row r="511" spans="1:7" ht="16.5">
      <c r="A511" s="695"/>
      <c r="B511" s="377"/>
      <c r="C511" s="377"/>
      <c r="D511" s="377"/>
      <c r="E511" s="377"/>
      <c r="F511" s="377"/>
      <c r="G511" s="377"/>
    </row>
    <row r="512" spans="1:7" ht="16.5">
      <c r="A512" s="695"/>
      <c r="B512" s="377"/>
      <c r="C512" s="377"/>
      <c r="D512" s="377"/>
      <c r="E512" s="377"/>
      <c r="F512" s="377"/>
      <c r="G512" s="377"/>
    </row>
    <row r="513" spans="1:7" ht="16.5">
      <c r="A513" s="695"/>
      <c r="B513" s="377"/>
      <c r="C513" s="377"/>
      <c r="D513" s="377"/>
      <c r="E513" s="377"/>
      <c r="F513" s="377"/>
      <c r="G513" s="377"/>
    </row>
    <row r="514" spans="1:7" ht="16.5">
      <c r="A514" s="695"/>
      <c r="B514" s="377"/>
      <c r="C514" s="377"/>
      <c r="D514" s="377"/>
      <c r="E514" s="377"/>
      <c r="F514" s="377"/>
      <c r="G514" s="377"/>
    </row>
    <row r="515" spans="1:7" ht="16.5">
      <c r="A515" s="695"/>
      <c r="B515" s="377"/>
      <c r="C515" s="377"/>
      <c r="D515" s="377"/>
      <c r="E515" s="377"/>
      <c r="F515" s="377"/>
      <c r="G515" s="377"/>
    </row>
    <row r="516" spans="1:7" ht="16.5">
      <c r="A516" s="695"/>
      <c r="B516" s="377"/>
      <c r="C516" s="377"/>
      <c r="D516" s="377"/>
      <c r="E516" s="377"/>
      <c r="F516" s="377"/>
      <c r="G516" s="377"/>
    </row>
    <row r="517" spans="1:7" ht="16.5">
      <c r="A517" s="695"/>
      <c r="B517" s="377"/>
      <c r="C517" s="377"/>
      <c r="D517" s="377"/>
      <c r="E517" s="377"/>
      <c r="F517" s="377"/>
      <c r="G517" s="377"/>
    </row>
    <row r="518" spans="1:7" ht="16.5">
      <c r="A518" s="695"/>
      <c r="B518" s="377"/>
      <c r="C518" s="377"/>
      <c r="D518" s="377"/>
      <c r="E518" s="377"/>
      <c r="F518" s="377"/>
      <c r="G518" s="377"/>
    </row>
    <row r="519" spans="1:7" ht="16.5">
      <c r="A519" s="695"/>
      <c r="B519" s="377"/>
      <c r="C519" s="377"/>
      <c r="D519" s="377"/>
      <c r="E519" s="377"/>
      <c r="F519" s="377"/>
      <c r="G519" s="377"/>
    </row>
    <row r="520" spans="1:7" ht="16.5">
      <c r="A520" s="695"/>
      <c r="B520" s="377"/>
      <c r="C520" s="377"/>
      <c r="D520" s="377"/>
      <c r="E520" s="377"/>
      <c r="F520" s="377"/>
      <c r="G520" s="377"/>
    </row>
    <row r="521" spans="1:7" ht="16.5">
      <c r="A521" s="695"/>
      <c r="B521" s="377"/>
      <c r="C521" s="377"/>
      <c r="D521" s="377"/>
      <c r="E521" s="377"/>
      <c r="F521" s="377"/>
      <c r="G521" s="377"/>
    </row>
    <row r="522" spans="1:7" ht="16.5">
      <c r="A522" s="695"/>
      <c r="B522" s="377"/>
      <c r="C522" s="377"/>
      <c r="D522" s="377"/>
      <c r="E522" s="377"/>
      <c r="F522" s="377"/>
      <c r="G522" s="377"/>
    </row>
    <row r="523" spans="1:7" ht="16.5">
      <c r="A523" s="695"/>
      <c r="B523" s="377"/>
      <c r="C523" s="377"/>
      <c r="D523" s="377"/>
      <c r="E523" s="377"/>
      <c r="F523" s="377"/>
      <c r="G523" s="377"/>
    </row>
    <row r="524" spans="1:7" ht="16.5">
      <c r="A524" s="695"/>
      <c r="B524" s="377"/>
      <c r="C524" s="377"/>
      <c r="D524" s="377"/>
      <c r="E524" s="377"/>
      <c r="F524" s="377"/>
      <c r="G524" s="377"/>
    </row>
    <row r="525" spans="1:7" ht="16.5">
      <c r="A525" s="695"/>
      <c r="B525" s="377"/>
      <c r="C525" s="377"/>
      <c r="D525" s="377"/>
      <c r="E525" s="377"/>
      <c r="F525" s="377"/>
      <c r="G525" s="377"/>
    </row>
    <row r="526" spans="1:7" ht="16.5">
      <c r="A526" s="695"/>
      <c r="B526" s="377"/>
      <c r="C526" s="377"/>
      <c r="D526" s="377"/>
      <c r="E526" s="377"/>
      <c r="F526" s="377"/>
      <c r="G526" s="377"/>
    </row>
    <row r="527" spans="1:7" ht="16.5">
      <c r="A527" s="695"/>
      <c r="B527" s="377"/>
      <c r="C527" s="377"/>
      <c r="D527" s="377"/>
      <c r="E527" s="377"/>
      <c r="F527" s="377"/>
      <c r="G527" s="377"/>
    </row>
    <row r="528" spans="1:7" ht="16.5">
      <c r="A528" s="695"/>
      <c r="B528" s="377"/>
      <c r="C528" s="377"/>
      <c r="D528" s="377"/>
      <c r="E528" s="377"/>
      <c r="F528" s="377"/>
      <c r="G528" s="377"/>
    </row>
    <row r="529" spans="1:7" ht="16.5">
      <c r="A529" s="695"/>
      <c r="B529" s="377"/>
      <c r="C529" s="377"/>
      <c r="D529" s="377"/>
      <c r="E529" s="377"/>
      <c r="F529" s="377"/>
      <c r="G529" s="377"/>
    </row>
    <row r="530" spans="1:7" ht="16.5">
      <c r="A530" s="695"/>
      <c r="B530" s="377"/>
      <c r="C530" s="377"/>
      <c r="D530" s="377"/>
      <c r="E530" s="377"/>
      <c r="F530" s="377"/>
      <c r="G530" s="377"/>
    </row>
    <row r="531" spans="1:7" ht="16.5">
      <c r="A531" s="695"/>
      <c r="B531" s="377"/>
      <c r="C531" s="377"/>
      <c r="D531" s="377"/>
      <c r="E531" s="377"/>
      <c r="F531" s="377"/>
      <c r="G531" s="377"/>
    </row>
    <row r="532" spans="1:7" ht="16.5">
      <c r="A532" s="695"/>
      <c r="B532" s="377"/>
      <c r="C532" s="377"/>
      <c r="D532" s="377"/>
      <c r="E532" s="377"/>
      <c r="F532" s="377"/>
      <c r="G532" s="377"/>
    </row>
    <row r="533" spans="1:7" ht="16.5">
      <c r="A533" s="695"/>
      <c r="B533" s="377"/>
      <c r="C533" s="377"/>
      <c r="D533" s="377"/>
      <c r="E533" s="377"/>
      <c r="F533" s="377"/>
      <c r="G533" s="377"/>
    </row>
    <row r="534" spans="1:7" ht="16.5">
      <c r="A534" s="695"/>
      <c r="B534" s="377"/>
      <c r="C534" s="377"/>
      <c r="D534" s="377"/>
      <c r="E534" s="377"/>
      <c r="F534" s="377"/>
      <c r="G534" s="377"/>
    </row>
    <row r="535" spans="1:7" ht="16.5">
      <c r="A535" s="695"/>
      <c r="B535" s="377"/>
      <c r="C535" s="377"/>
      <c r="D535" s="377"/>
      <c r="E535" s="377"/>
      <c r="F535" s="377"/>
      <c r="G535" s="377"/>
    </row>
    <row r="536" spans="1:7" ht="16.5">
      <c r="A536" s="695"/>
      <c r="B536" s="377"/>
      <c r="C536" s="377"/>
      <c r="D536" s="377"/>
      <c r="E536" s="377"/>
      <c r="F536" s="377"/>
      <c r="G536" s="377"/>
    </row>
    <row r="537" spans="1:7" ht="16.5">
      <c r="A537" s="695"/>
      <c r="B537" s="377"/>
      <c r="C537" s="377"/>
      <c r="D537" s="377"/>
      <c r="E537" s="377"/>
      <c r="F537" s="377"/>
      <c r="G537" s="377"/>
    </row>
    <row r="538" spans="1:7" ht="16.5">
      <c r="A538" s="695"/>
      <c r="B538" s="377"/>
      <c r="C538" s="377"/>
      <c r="D538" s="377"/>
      <c r="E538" s="377"/>
      <c r="F538" s="377"/>
      <c r="G538" s="377"/>
    </row>
    <row r="539" spans="1:7" ht="16.5">
      <c r="A539" s="695"/>
      <c r="B539" s="377"/>
      <c r="C539" s="377"/>
      <c r="D539" s="377"/>
      <c r="E539" s="377"/>
      <c r="F539" s="377"/>
      <c r="G539" s="377"/>
    </row>
    <row r="540" spans="1:7" ht="16.5">
      <c r="A540" s="695"/>
      <c r="B540" s="377"/>
      <c r="C540" s="377"/>
      <c r="D540" s="377"/>
      <c r="E540" s="377"/>
      <c r="F540" s="377"/>
      <c r="G540" s="377"/>
    </row>
    <row r="541" spans="1:7" ht="16.5">
      <c r="A541" s="695"/>
      <c r="B541" s="377"/>
      <c r="C541" s="377"/>
      <c r="D541" s="377"/>
      <c r="E541" s="377"/>
      <c r="F541" s="377"/>
      <c r="G541" s="377"/>
    </row>
    <row r="542" spans="1:7" ht="16.5">
      <c r="A542" s="695"/>
      <c r="B542" s="377"/>
      <c r="C542" s="377"/>
      <c r="D542" s="377"/>
      <c r="E542" s="377"/>
      <c r="F542" s="377"/>
      <c r="G542" s="377"/>
    </row>
    <row r="543" spans="1:7" ht="16.5">
      <c r="A543" s="695"/>
      <c r="B543" s="377"/>
      <c r="C543" s="377"/>
      <c r="D543" s="377"/>
      <c r="E543" s="377"/>
      <c r="F543" s="377"/>
      <c r="G543" s="377"/>
    </row>
    <row r="544" spans="1:7" ht="16.5">
      <c r="A544" s="695"/>
      <c r="B544" s="377"/>
      <c r="C544" s="377"/>
      <c r="D544" s="377"/>
      <c r="E544" s="377"/>
      <c r="F544" s="377"/>
      <c r="G544" s="377"/>
    </row>
    <row r="545" spans="1:7" ht="16.5">
      <c r="A545" s="695"/>
      <c r="B545" s="377"/>
      <c r="C545" s="377"/>
      <c r="D545" s="377"/>
      <c r="E545" s="377"/>
      <c r="F545" s="377"/>
      <c r="G545" s="377"/>
    </row>
    <row r="546" spans="1:7" ht="16.5">
      <c r="A546" s="695"/>
      <c r="B546" s="377"/>
      <c r="C546" s="377"/>
      <c r="D546" s="377"/>
      <c r="E546" s="377"/>
      <c r="F546" s="377"/>
      <c r="G546" s="377"/>
    </row>
    <row r="547" spans="1:7" ht="16.5">
      <c r="A547" s="695"/>
      <c r="B547" s="377"/>
      <c r="C547" s="377"/>
      <c r="D547" s="377"/>
      <c r="E547" s="377"/>
      <c r="F547" s="377"/>
      <c r="G547" s="377"/>
    </row>
    <row r="548" spans="1:7" ht="16.5">
      <c r="A548" s="695"/>
      <c r="B548" s="377"/>
      <c r="C548" s="377"/>
      <c r="D548" s="377"/>
      <c r="E548" s="377"/>
      <c r="F548" s="377"/>
      <c r="G548" s="377"/>
    </row>
    <row r="549" spans="1:7" ht="16.5">
      <c r="A549" s="695"/>
      <c r="B549" s="377"/>
      <c r="C549" s="377"/>
      <c r="D549" s="377"/>
      <c r="E549" s="377"/>
      <c r="F549" s="377"/>
      <c r="G549" s="377"/>
    </row>
    <row r="550" spans="1:7" ht="16.5">
      <c r="A550" s="695"/>
      <c r="B550" s="377"/>
      <c r="C550" s="377"/>
      <c r="D550" s="377"/>
      <c r="E550" s="377"/>
      <c r="F550" s="377"/>
      <c r="G550" s="377"/>
    </row>
    <row r="551" spans="1:7" ht="16.5">
      <c r="A551" s="695"/>
      <c r="B551" s="377"/>
      <c r="C551" s="377"/>
      <c r="D551" s="377"/>
      <c r="E551" s="377"/>
      <c r="F551" s="377"/>
      <c r="G551" s="377"/>
    </row>
    <row r="552" spans="1:7" ht="16.5">
      <c r="A552" s="695"/>
      <c r="B552" s="377"/>
      <c r="C552" s="377"/>
      <c r="D552" s="377"/>
      <c r="E552" s="377"/>
      <c r="F552" s="377"/>
      <c r="G552" s="377"/>
    </row>
    <row r="553" spans="1:7" ht="16.5">
      <c r="A553" s="695"/>
      <c r="B553" s="377"/>
      <c r="C553" s="377"/>
      <c r="D553" s="377"/>
      <c r="E553" s="377"/>
      <c r="F553" s="377"/>
      <c r="G553" s="377"/>
    </row>
    <row r="554" spans="1:7" ht="16.5">
      <c r="A554" s="695"/>
      <c r="B554" s="377"/>
      <c r="C554" s="377"/>
      <c r="D554" s="377"/>
      <c r="E554" s="377"/>
      <c r="F554" s="377"/>
      <c r="G554" s="377"/>
    </row>
    <row r="555" spans="1:7" ht="16.5">
      <c r="A555" s="695"/>
      <c r="B555" s="377"/>
      <c r="C555" s="377"/>
      <c r="D555" s="377"/>
      <c r="E555" s="377"/>
      <c r="F555" s="377"/>
      <c r="G555" s="377"/>
    </row>
    <row r="556" spans="1:7" ht="16.5">
      <c r="A556" s="695"/>
      <c r="B556" s="377"/>
      <c r="C556" s="377"/>
      <c r="D556" s="377"/>
      <c r="E556" s="377"/>
      <c r="F556" s="377"/>
      <c r="G556" s="377"/>
    </row>
    <row r="557" spans="1:7" ht="16.5">
      <c r="A557" s="695"/>
      <c r="B557" s="377"/>
      <c r="C557" s="377"/>
      <c r="D557" s="377"/>
      <c r="E557" s="377"/>
      <c r="F557" s="377"/>
      <c r="G557" s="377"/>
    </row>
    <row r="558" spans="1:7" ht="16.5">
      <c r="A558" s="695"/>
      <c r="B558" s="377"/>
      <c r="C558" s="377"/>
      <c r="D558" s="377"/>
      <c r="E558" s="377"/>
      <c r="F558" s="377"/>
      <c r="G558" s="377"/>
    </row>
    <row r="559" spans="1:7" ht="16.5">
      <c r="A559" s="695"/>
      <c r="B559" s="377"/>
      <c r="C559" s="377"/>
      <c r="D559" s="377"/>
      <c r="E559" s="377"/>
      <c r="F559" s="377"/>
      <c r="G559" s="377"/>
    </row>
    <row r="560" spans="1:7" ht="16.5">
      <c r="A560" s="695"/>
      <c r="B560" s="377"/>
      <c r="C560" s="377"/>
      <c r="D560" s="377"/>
      <c r="E560" s="377"/>
      <c r="F560" s="377"/>
      <c r="G560" s="377"/>
    </row>
    <row r="561" spans="1:7" ht="16.5">
      <c r="A561" s="695"/>
      <c r="B561" s="377"/>
      <c r="C561" s="377"/>
      <c r="D561" s="377"/>
      <c r="E561" s="377"/>
      <c r="F561" s="377"/>
      <c r="G561" s="377"/>
    </row>
    <row r="562" spans="1:7" ht="16.5">
      <c r="A562" s="695"/>
      <c r="B562" s="377"/>
      <c r="C562" s="377"/>
      <c r="D562" s="377"/>
      <c r="E562" s="377"/>
      <c r="F562" s="377"/>
      <c r="G562" s="377"/>
    </row>
    <row r="563" spans="1:7" ht="16.5">
      <c r="A563" s="695"/>
      <c r="B563" s="377"/>
      <c r="C563" s="377"/>
      <c r="D563" s="377"/>
      <c r="E563" s="377"/>
      <c r="F563" s="377"/>
      <c r="G563" s="377"/>
    </row>
    <row r="564" spans="1:7" ht="16.5">
      <c r="A564" s="695"/>
      <c r="B564" s="377"/>
      <c r="C564" s="377"/>
      <c r="D564" s="377"/>
      <c r="E564" s="377"/>
      <c r="F564" s="377"/>
      <c r="G564" s="377"/>
    </row>
    <row r="565" spans="1:7" ht="16.5">
      <c r="A565" s="695"/>
      <c r="B565" s="377"/>
      <c r="C565" s="377"/>
      <c r="D565" s="377"/>
      <c r="E565" s="377"/>
      <c r="F565" s="377"/>
      <c r="G565" s="377"/>
    </row>
    <row r="566" spans="1:7" ht="16.5">
      <c r="A566" s="695"/>
      <c r="B566" s="377"/>
      <c r="C566" s="377"/>
      <c r="D566" s="377"/>
      <c r="E566" s="377"/>
      <c r="F566" s="377"/>
      <c r="G566" s="377"/>
    </row>
    <row r="567" spans="1:7" ht="16.5">
      <c r="A567" s="695"/>
      <c r="B567" s="377"/>
      <c r="C567" s="377"/>
      <c r="D567" s="377"/>
      <c r="E567" s="377"/>
      <c r="F567" s="377"/>
      <c r="G567" s="377"/>
    </row>
    <row r="568" spans="1:7" ht="16.5">
      <c r="A568" s="695"/>
      <c r="B568" s="377"/>
      <c r="C568" s="377"/>
      <c r="D568" s="377"/>
      <c r="E568" s="377"/>
      <c r="F568" s="377"/>
      <c r="G568" s="377"/>
    </row>
    <row r="569" spans="1:7" ht="16.5">
      <c r="A569" s="695"/>
      <c r="B569" s="377"/>
      <c r="C569" s="377"/>
      <c r="D569" s="377"/>
      <c r="E569" s="377"/>
      <c r="F569" s="377"/>
      <c r="G569" s="377"/>
    </row>
    <row r="570" spans="1:7" ht="16.5">
      <c r="A570" s="695"/>
      <c r="B570" s="377"/>
      <c r="C570" s="377"/>
      <c r="D570" s="377"/>
      <c r="E570" s="377"/>
      <c r="F570" s="377"/>
      <c r="G570" s="377"/>
    </row>
    <row r="571" spans="1:7" ht="16.5">
      <c r="A571" s="695"/>
      <c r="B571" s="377"/>
      <c r="C571" s="377"/>
      <c r="D571" s="377"/>
      <c r="E571" s="377"/>
      <c r="F571" s="377"/>
      <c r="G571" s="377"/>
    </row>
    <row r="572" spans="1:7" ht="16.5">
      <c r="A572" s="695"/>
      <c r="B572" s="377"/>
      <c r="C572" s="377"/>
      <c r="D572" s="377"/>
      <c r="E572" s="377"/>
      <c r="F572" s="377"/>
      <c r="G572" s="377"/>
    </row>
    <row r="573" spans="1:7" ht="16.5">
      <c r="A573" s="695"/>
      <c r="B573" s="377"/>
      <c r="C573" s="377"/>
      <c r="D573" s="377"/>
      <c r="E573" s="377"/>
      <c r="F573" s="377"/>
      <c r="G573" s="377"/>
    </row>
    <row r="574" spans="1:7" ht="16.5">
      <c r="A574" s="695"/>
      <c r="B574" s="377"/>
      <c r="C574" s="377"/>
      <c r="D574" s="377"/>
      <c r="E574" s="377"/>
      <c r="F574" s="377"/>
      <c r="G574" s="377"/>
    </row>
    <row r="575" spans="1:7" ht="16.5">
      <c r="A575" s="695"/>
      <c r="B575" s="377"/>
      <c r="C575" s="377"/>
      <c r="D575" s="377"/>
      <c r="E575" s="377"/>
      <c r="F575" s="377"/>
      <c r="G575" s="377"/>
    </row>
    <row r="576" spans="1:7" ht="16.5">
      <c r="A576" s="695"/>
      <c r="B576" s="377"/>
      <c r="C576" s="377"/>
      <c r="D576" s="377"/>
      <c r="E576" s="377"/>
      <c r="F576" s="377"/>
      <c r="G576" s="377"/>
    </row>
    <row r="577" spans="1:7" ht="16.5">
      <c r="A577" s="695"/>
      <c r="B577" s="377"/>
      <c r="C577" s="377"/>
      <c r="D577" s="377"/>
      <c r="E577" s="377"/>
      <c r="F577" s="377"/>
      <c r="G577" s="377"/>
    </row>
    <row r="578" spans="1:7" ht="16.5">
      <c r="A578" s="695"/>
      <c r="B578" s="377"/>
      <c r="C578" s="377"/>
      <c r="D578" s="377"/>
      <c r="E578" s="377"/>
      <c r="F578" s="377"/>
      <c r="G578" s="377"/>
    </row>
    <row r="579" spans="1:7" ht="16.5">
      <c r="A579" s="695"/>
      <c r="B579" s="377"/>
      <c r="C579" s="377"/>
      <c r="D579" s="377"/>
      <c r="E579" s="377"/>
      <c r="F579" s="377"/>
      <c r="G579" s="377"/>
    </row>
    <row r="580" spans="1:7" ht="16.5">
      <c r="A580" s="695"/>
      <c r="B580" s="377"/>
      <c r="C580" s="377"/>
      <c r="D580" s="377"/>
      <c r="E580" s="377"/>
      <c r="F580" s="377"/>
      <c r="G580" s="377"/>
    </row>
    <row r="581" spans="1:7" ht="16.5">
      <c r="A581" s="695"/>
      <c r="B581" s="377"/>
      <c r="C581" s="377"/>
      <c r="D581" s="377"/>
      <c r="E581" s="377"/>
      <c r="F581" s="377"/>
      <c r="G581" s="377"/>
    </row>
    <row r="582" spans="1:7" ht="16.5">
      <c r="A582" s="695"/>
      <c r="B582" s="377"/>
      <c r="C582" s="377"/>
      <c r="D582" s="377"/>
      <c r="E582" s="377"/>
      <c r="F582" s="377"/>
      <c r="G582" s="377"/>
    </row>
    <row r="583" spans="1:7" ht="16.5">
      <c r="A583" s="695"/>
      <c r="B583" s="377"/>
      <c r="C583" s="377"/>
      <c r="D583" s="377"/>
      <c r="E583" s="377"/>
      <c r="F583" s="377"/>
      <c r="G583" s="377"/>
    </row>
    <row r="584" spans="1:7" ht="16.5">
      <c r="A584" s="695"/>
      <c r="B584" s="377"/>
      <c r="C584" s="377"/>
      <c r="D584" s="377"/>
      <c r="E584" s="377"/>
      <c r="F584" s="377"/>
      <c r="G584" s="377"/>
    </row>
    <row r="585" spans="1:7" ht="16.5">
      <c r="A585" s="695"/>
      <c r="B585" s="377"/>
      <c r="C585" s="377"/>
      <c r="D585" s="377"/>
      <c r="E585" s="377"/>
      <c r="F585" s="377"/>
      <c r="G585" s="377"/>
    </row>
    <row r="586" spans="1:7" ht="16.5">
      <c r="A586" s="695"/>
      <c r="B586" s="377"/>
      <c r="C586" s="377"/>
      <c r="D586" s="377"/>
      <c r="E586" s="377"/>
      <c r="F586" s="377"/>
      <c r="G586" s="377"/>
    </row>
    <row r="587" spans="1:7" ht="16.5">
      <c r="A587" s="695"/>
      <c r="B587" s="377"/>
      <c r="C587" s="377"/>
      <c r="D587" s="377"/>
      <c r="E587" s="377"/>
      <c r="F587" s="377"/>
      <c r="G587" s="377"/>
    </row>
    <row r="588" spans="1:7" ht="16.5">
      <c r="A588" s="695"/>
      <c r="B588" s="377"/>
      <c r="C588" s="377"/>
      <c r="D588" s="377"/>
      <c r="E588" s="377"/>
      <c r="F588" s="377"/>
      <c r="G588" s="377"/>
    </row>
    <row r="589" spans="1:7" ht="16.5">
      <c r="A589" s="695"/>
      <c r="B589" s="377"/>
      <c r="C589" s="377"/>
      <c r="D589" s="377"/>
      <c r="E589" s="377"/>
      <c r="F589" s="377"/>
      <c r="G589" s="377"/>
    </row>
    <row r="590" spans="1:7" ht="16.5">
      <c r="A590" s="695"/>
      <c r="B590" s="377"/>
      <c r="C590" s="377"/>
      <c r="D590" s="377"/>
      <c r="E590" s="377"/>
      <c r="F590" s="377"/>
      <c r="G590" s="377"/>
    </row>
    <row r="591" spans="1:7" ht="16.5">
      <c r="A591" s="695"/>
      <c r="B591" s="377"/>
      <c r="C591" s="377"/>
      <c r="D591" s="377"/>
      <c r="E591" s="377"/>
      <c r="F591" s="377"/>
      <c r="G591" s="377"/>
    </row>
    <row r="592" spans="1:7" ht="16.5">
      <c r="A592" s="695"/>
      <c r="B592" s="377"/>
      <c r="C592" s="377"/>
      <c r="D592" s="377"/>
      <c r="E592" s="377"/>
      <c r="F592" s="377"/>
      <c r="G592" s="377"/>
    </row>
    <row r="593" spans="1:7" ht="16.5">
      <c r="A593" s="695"/>
      <c r="B593" s="377"/>
      <c r="C593" s="377"/>
      <c r="D593" s="377"/>
      <c r="E593" s="377"/>
      <c r="F593" s="377"/>
      <c r="G593" s="377"/>
    </row>
    <row r="594" spans="1:7" ht="16.5">
      <c r="A594" s="695"/>
      <c r="B594" s="377"/>
      <c r="C594" s="377"/>
      <c r="D594" s="377"/>
      <c r="E594" s="377"/>
      <c r="F594" s="377"/>
      <c r="G594" s="377"/>
    </row>
    <row r="595" spans="1:7" ht="16.5">
      <c r="A595" s="695"/>
      <c r="B595" s="377"/>
      <c r="C595" s="377"/>
      <c r="D595" s="377"/>
      <c r="E595" s="377"/>
      <c r="F595" s="377"/>
      <c r="G595" s="377"/>
    </row>
    <row r="596" spans="1:7" ht="16.5">
      <c r="A596" s="695"/>
      <c r="B596" s="377"/>
      <c r="C596" s="377"/>
      <c r="D596" s="377"/>
      <c r="E596" s="377"/>
      <c r="F596" s="377"/>
      <c r="G596" s="377"/>
    </row>
    <row r="597" spans="1:7" ht="16.5">
      <c r="A597" s="695"/>
      <c r="B597" s="377"/>
      <c r="C597" s="377"/>
      <c r="D597" s="377"/>
      <c r="E597" s="377"/>
      <c r="F597" s="377"/>
      <c r="G597" s="377"/>
    </row>
    <row r="598" spans="1:7" ht="16.5">
      <c r="A598" s="695"/>
      <c r="B598" s="377"/>
      <c r="C598" s="377"/>
      <c r="D598" s="377"/>
      <c r="E598" s="377"/>
      <c r="F598" s="377"/>
      <c r="G598" s="377"/>
    </row>
    <row r="599" spans="1:7" ht="16.5">
      <c r="A599" s="695"/>
      <c r="B599" s="377"/>
      <c r="C599" s="377"/>
      <c r="D599" s="377"/>
      <c r="E599" s="377"/>
      <c r="F599" s="377"/>
      <c r="G599" s="377"/>
    </row>
    <row r="600" spans="1:7" ht="16.5">
      <c r="A600" s="695"/>
      <c r="B600" s="377"/>
      <c r="C600" s="377"/>
      <c r="D600" s="377"/>
      <c r="E600" s="377"/>
      <c r="F600" s="377"/>
      <c r="G600" s="377"/>
    </row>
    <row r="601" spans="1:7" ht="16.5">
      <c r="A601" s="695"/>
      <c r="B601" s="377"/>
      <c r="C601" s="377"/>
      <c r="D601" s="377"/>
      <c r="E601" s="377"/>
      <c r="F601" s="377"/>
      <c r="G601" s="377"/>
    </row>
    <row r="602" spans="1:7" ht="16.5">
      <c r="A602" s="695"/>
      <c r="B602" s="377"/>
      <c r="C602" s="377"/>
      <c r="D602" s="377"/>
      <c r="E602" s="377"/>
      <c r="F602" s="377"/>
      <c r="G602" s="377"/>
    </row>
    <row r="603" spans="1:7" ht="16.5">
      <c r="A603" s="695"/>
      <c r="B603" s="377"/>
      <c r="C603" s="377"/>
      <c r="D603" s="377"/>
      <c r="E603" s="377"/>
      <c r="F603" s="377"/>
      <c r="G603" s="377"/>
    </row>
    <row r="604" spans="1:7" ht="16.5">
      <c r="A604" s="695"/>
      <c r="B604" s="377"/>
      <c r="C604" s="377"/>
      <c r="D604" s="377"/>
      <c r="E604" s="377"/>
      <c r="F604" s="377"/>
      <c r="G604" s="377"/>
    </row>
    <row r="605" spans="1:7" ht="16.5">
      <c r="A605" s="695"/>
      <c r="B605" s="377"/>
      <c r="C605" s="377"/>
      <c r="D605" s="377"/>
      <c r="E605" s="377"/>
      <c r="F605" s="377"/>
      <c r="G605" s="377"/>
    </row>
    <row r="606" spans="1:7" ht="16.5">
      <c r="A606" s="695"/>
      <c r="B606" s="377"/>
      <c r="C606" s="377"/>
      <c r="D606" s="377"/>
      <c r="E606" s="377"/>
      <c r="F606" s="377"/>
      <c r="G606" s="377"/>
    </row>
    <row r="607" spans="1:7" ht="16.5">
      <c r="A607" s="695"/>
      <c r="B607" s="377"/>
      <c r="C607" s="377"/>
      <c r="D607" s="377"/>
      <c r="E607" s="377"/>
      <c r="F607" s="377"/>
      <c r="G607" s="377"/>
    </row>
    <row r="608" spans="1:7" ht="16.5">
      <c r="A608" s="695"/>
      <c r="B608" s="377"/>
      <c r="C608" s="377"/>
      <c r="D608" s="377"/>
      <c r="E608" s="377"/>
      <c r="F608" s="377"/>
      <c r="G608" s="377"/>
    </row>
    <row r="609" spans="1:7" ht="16.5">
      <c r="A609" s="695"/>
      <c r="B609" s="377"/>
      <c r="C609" s="377"/>
      <c r="D609" s="377"/>
      <c r="E609" s="377"/>
      <c r="F609" s="377"/>
      <c r="G609" s="377"/>
    </row>
    <row r="610" spans="1:7" ht="16.5">
      <c r="A610" s="695"/>
      <c r="B610" s="377"/>
      <c r="C610" s="377"/>
      <c r="D610" s="377"/>
      <c r="E610" s="377"/>
      <c r="F610" s="377"/>
      <c r="G610" s="377"/>
    </row>
    <row r="611" spans="1:7" ht="16.5">
      <c r="A611" s="695"/>
      <c r="B611" s="377"/>
      <c r="C611" s="377"/>
      <c r="D611" s="377"/>
      <c r="E611" s="377"/>
      <c r="F611" s="377"/>
      <c r="G611" s="377"/>
    </row>
    <row r="612" spans="1:7" ht="16.5">
      <c r="A612" s="695"/>
      <c r="B612" s="377"/>
      <c r="C612" s="377"/>
      <c r="D612" s="377"/>
      <c r="E612" s="377"/>
      <c r="F612" s="377"/>
      <c r="G612" s="377"/>
    </row>
    <row r="613" spans="1:7" ht="16.5">
      <c r="A613" s="695"/>
      <c r="B613" s="377"/>
      <c r="C613" s="377"/>
      <c r="D613" s="377"/>
      <c r="E613" s="377"/>
      <c r="F613" s="377"/>
      <c r="G613" s="377"/>
    </row>
    <row r="614" spans="1:7" ht="16.5">
      <c r="A614" s="695"/>
      <c r="B614" s="377"/>
      <c r="C614" s="377"/>
      <c r="D614" s="377"/>
      <c r="E614" s="377"/>
      <c r="F614" s="377"/>
      <c r="G614" s="377"/>
    </row>
    <row r="615" spans="1:7" ht="16.5">
      <c r="A615" s="695"/>
      <c r="B615" s="377"/>
      <c r="C615" s="377"/>
      <c r="D615" s="377"/>
      <c r="E615" s="377"/>
      <c r="F615" s="377"/>
      <c r="G615" s="377"/>
    </row>
    <row r="616" spans="1:7" ht="16.5">
      <c r="A616" s="695"/>
      <c r="B616" s="377"/>
      <c r="C616" s="377"/>
      <c r="D616" s="377"/>
      <c r="E616" s="377"/>
      <c r="F616" s="377"/>
      <c r="G616" s="377"/>
    </row>
    <row r="617" spans="1:7" ht="16.5">
      <c r="A617" s="695"/>
      <c r="B617" s="377"/>
      <c r="C617" s="377"/>
      <c r="D617" s="377"/>
      <c r="E617" s="377"/>
      <c r="F617" s="377"/>
      <c r="G617" s="377"/>
    </row>
    <row r="618" spans="1:7" ht="16.5">
      <c r="A618" s="695"/>
      <c r="B618" s="377"/>
      <c r="C618" s="377"/>
      <c r="D618" s="377"/>
      <c r="E618" s="377"/>
      <c r="F618" s="377"/>
      <c r="G618" s="377"/>
    </row>
    <row r="619" spans="1:7" ht="16.5">
      <c r="A619" s="695"/>
      <c r="B619" s="377"/>
      <c r="C619" s="377"/>
      <c r="D619" s="377"/>
      <c r="E619" s="377"/>
      <c r="F619" s="377"/>
      <c r="G619" s="377"/>
    </row>
    <row r="620" spans="1:7" ht="16.5">
      <c r="A620" s="695"/>
      <c r="B620" s="377"/>
      <c r="C620" s="377"/>
      <c r="D620" s="377"/>
      <c r="E620" s="377"/>
      <c r="F620" s="377"/>
      <c r="G620" s="377"/>
    </row>
    <row r="621" spans="1:7" ht="16.5">
      <c r="A621" s="695"/>
      <c r="B621" s="377"/>
      <c r="C621" s="377"/>
      <c r="D621" s="377"/>
      <c r="E621" s="377"/>
      <c r="F621" s="377"/>
      <c r="G621" s="377"/>
    </row>
    <row r="622" spans="1:7" ht="16.5">
      <c r="A622" s="695"/>
      <c r="B622" s="377"/>
      <c r="C622" s="377"/>
      <c r="D622" s="377"/>
      <c r="E622" s="377"/>
      <c r="F622" s="377"/>
      <c r="G622" s="377"/>
    </row>
    <row r="623" spans="1:7" ht="16.5">
      <c r="A623" s="695"/>
      <c r="B623" s="377"/>
      <c r="C623" s="377"/>
      <c r="D623" s="377"/>
      <c r="E623" s="377"/>
      <c r="F623" s="377"/>
      <c r="G623" s="377"/>
    </row>
    <row r="624" spans="1:7" ht="16.5">
      <c r="A624" s="695"/>
      <c r="B624" s="377"/>
      <c r="C624" s="377"/>
      <c r="D624" s="377"/>
      <c r="E624" s="377"/>
      <c r="F624" s="377"/>
      <c r="G624" s="377"/>
    </row>
    <row r="625" spans="1:7" ht="16.5">
      <c r="A625" s="695"/>
      <c r="B625" s="377"/>
      <c r="C625" s="377"/>
      <c r="D625" s="377"/>
      <c r="E625" s="377"/>
      <c r="F625" s="377"/>
      <c r="G625" s="377"/>
    </row>
    <row r="626" spans="1:7" ht="16.5">
      <c r="A626" s="695"/>
      <c r="B626" s="377"/>
      <c r="C626" s="377"/>
      <c r="D626" s="377"/>
      <c r="E626" s="377"/>
      <c r="F626" s="377"/>
      <c r="G626" s="377"/>
    </row>
    <row r="627" spans="1:7" ht="16.5">
      <c r="A627" s="695"/>
      <c r="B627" s="377"/>
      <c r="C627" s="377"/>
      <c r="D627" s="377"/>
      <c r="E627" s="377"/>
      <c r="F627" s="377"/>
      <c r="G627" s="377"/>
    </row>
    <row r="628" spans="1:7" ht="16.5">
      <c r="A628" s="695"/>
      <c r="B628" s="377"/>
      <c r="C628" s="377"/>
      <c r="D628" s="377"/>
      <c r="E628" s="377"/>
      <c r="F628" s="377"/>
      <c r="G628" s="377"/>
    </row>
    <row r="629" spans="1:7" ht="16.5">
      <c r="A629" s="695"/>
      <c r="B629" s="377"/>
      <c r="C629" s="377"/>
      <c r="D629" s="377"/>
      <c r="E629" s="377"/>
      <c r="F629" s="377"/>
      <c r="G629" s="377"/>
    </row>
    <row r="630" spans="1:7" ht="16.5">
      <c r="A630" s="695"/>
      <c r="B630" s="377"/>
      <c r="C630" s="377"/>
      <c r="D630" s="377"/>
      <c r="E630" s="377"/>
      <c r="F630" s="377"/>
      <c r="G630" s="377"/>
    </row>
    <row r="631" spans="1:7" ht="16.5">
      <c r="A631" s="695"/>
      <c r="B631" s="377"/>
      <c r="C631" s="377"/>
      <c r="D631" s="377"/>
      <c r="E631" s="377"/>
      <c r="F631" s="377"/>
      <c r="G631" s="377"/>
    </row>
    <row r="632" spans="1:7" ht="16.5">
      <c r="A632" s="695"/>
      <c r="B632" s="377"/>
      <c r="C632" s="377"/>
      <c r="D632" s="377"/>
      <c r="E632" s="377"/>
      <c r="F632" s="377"/>
      <c r="G632" s="377"/>
    </row>
    <row r="633" spans="1:7" ht="16.5">
      <c r="A633" s="695"/>
      <c r="B633" s="377"/>
      <c r="C633" s="377"/>
      <c r="D633" s="377"/>
      <c r="E633" s="377"/>
      <c r="F633" s="377"/>
      <c r="G633" s="377"/>
    </row>
    <row r="634" spans="1:7" ht="16.5">
      <c r="A634" s="695"/>
      <c r="B634" s="377"/>
      <c r="C634" s="377"/>
      <c r="D634" s="377"/>
      <c r="E634" s="377"/>
      <c r="F634" s="377"/>
      <c r="G634" s="377"/>
    </row>
    <row r="635" spans="1:7" ht="16.5">
      <c r="A635" s="695"/>
      <c r="B635" s="377"/>
      <c r="C635" s="377"/>
      <c r="D635" s="377"/>
      <c r="E635" s="377"/>
      <c r="F635" s="377"/>
      <c r="G635" s="377"/>
    </row>
    <row r="636" spans="1:7" ht="16.5">
      <c r="A636" s="695"/>
      <c r="B636" s="377"/>
      <c r="C636" s="377"/>
      <c r="D636" s="377"/>
      <c r="E636" s="377"/>
      <c r="F636" s="377"/>
      <c r="G636" s="377"/>
    </row>
    <row r="637" spans="1:7" ht="16.5">
      <c r="A637" s="695"/>
      <c r="B637" s="377"/>
      <c r="C637" s="377"/>
      <c r="D637" s="377"/>
      <c r="E637" s="377"/>
      <c r="F637" s="377"/>
      <c r="G637" s="377"/>
    </row>
    <row r="638" spans="1:7" ht="16.5">
      <c r="A638" s="695"/>
      <c r="B638" s="377"/>
      <c r="C638" s="377"/>
      <c r="D638" s="377"/>
      <c r="E638" s="377"/>
      <c r="F638" s="377"/>
      <c r="G638" s="377"/>
    </row>
    <row r="639" spans="1:7" ht="16.5">
      <c r="A639" s="695"/>
      <c r="B639" s="377"/>
      <c r="C639" s="377"/>
      <c r="D639" s="377"/>
      <c r="E639" s="377"/>
      <c r="F639" s="377"/>
      <c r="G639" s="377"/>
    </row>
    <row r="640" spans="1:7" ht="16.5">
      <c r="A640" s="695"/>
      <c r="B640" s="377"/>
      <c r="C640" s="377"/>
      <c r="D640" s="377"/>
      <c r="E640" s="377"/>
      <c r="F640" s="377"/>
      <c r="G640" s="377"/>
    </row>
    <row r="641" spans="1:7" ht="16.5">
      <c r="A641" s="695"/>
      <c r="B641" s="377"/>
      <c r="C641" s="377"/>
      <c r="D641" s="377"/>
      <c r="E641" s="377"/>
      <c r="F641" s="377"/>
      <c r="G641" s="377"/>
    </row>
    <row r="642" spans="1:7" ht="16.5">
      <c r="A642" s="695"/>
      <c r="B642" s="377"/>
      <c r="C642" s="377"/>
      <c r="D642" s="377"/>
      <c r="E642" s="377"/>
      <c r="F642" s="377"/>
      <c r="G642" s="377"/>
    </row>
    <row r="643" spans="1:7" ht="16.5">
      <c r="A643" s="695"/>
      <c r="B643" s="377"/>
      <c r="C643" s="377"/>
      <c r="D643" s="377"/>
      <c r="E643" s="377"/>
      <c r="F643" s="377"/>
      <c r="G643" s="377"/>
    </row>
    <row r="644" spans="1:7" ht="16.5">
      <c r="A644" s="695"/>
      <c r="B644" s="377"/>
      <c r="C644" s="377"/>
      <c r="D644" s="377"/>
      <c r="E644" s="377"/>
      <c r="F644" s="377"/>
      <c r="G644" s="377"/>
    </row>
    <row r="645" spans="1:7" ht="16.5">
      <c r="A645" s="695"/>
      <c r="B645" s="377"/>
      <c r="C645" s="377"/>
      <c r="D645" s="377"/>
      <c r="E645" s="377"/>
      <c r="F645" s="377"/>
      <c r="G645" s="377"/>
    </row>
    <row r="646" spans="1:7" ht="16.5">
      <c r="A646" s="695"/>
      <c r="B646" s="377"/>
      <c r="C646" s="377"/>
      <c r="D646" s="377"/>
      <c r="E646" s="377"/>
      <c r="F646" s="377"/>
      <c r="G646" s="377"/>
    </row>
    <row r="647" spans="1:7" ht="16.5">
      <c r="A647" s="695"/>
      <c r="B647" s="377"/>
      <c r="C647" s="377"/>
      <c r="D647" s="377"/>
      <c r="E647" s="377"/>
      <c r="F647" s="377"/>
      <c r="G647" s="377"/>
    </row>
    <row r="648" spans="1:7" ht="16.5">
      <c r="A648" s="695"/>
      <c r="B648" s="377"/>
      <c r="C648" s="377"/>
      <c r="D648" s="377"/>
      <c r="E648" s="377"/>
      <c r="F648" s="377"/>
      <c r="G648" s="377"/>
    </row>
    <row r="649" spans="1:7" ht="16.5">
      <c r="A649" s="695"/>
      <c r="B649" s="377"/>
      <c r="C649" s="377"/>
      <c r="D649" s="377"/>
      <c r="E649" s="377"/>
      <c r="F649" s="377"/>
      <c r="G649" s="377"/>
    </row>
    <row r="650" spans="1:7" ht="16.5">
      <c r="A650" s="695"/>
      <c r="B650" s="377"/>
      <c r="C650" s="377"/>
      <c r="D650" s="377"/>
      <c r="E650" s="377"/>
      <c r="F650" s="377"/>
      <c r="G650" s="377"/>
    </row>
    <row r="651" spans="1:7" ht="16.5">
      <c r="A651" s="695"/>
      <c r="B651" s="377"/>
      <c r="C651" s="377"/>
      <c r="D651" s="377"/>
      <c r="E651" s="377"/>
      <c r="F651" s="377"/>
      <c r="G651" s="377"/>
    </row>
    <row r="652" spans="1:7" ht="16.5">
      <c r="A652" s="695"/>
      <c r="B652" s="377"/>
      <c r="C652" s="377"/>
      <c r="D652" s="377"/>
      <c r="E652" s="377"/>
      <c r="F652" s="377"/>
      <c r="G652" s="377"/>
    </row>
    <row r="653" spans="1:7" ht="16.5">
      <c r="A653" s="695"/>
      <c r="B653" s="377"/>
      <c r="C653" s="377"/>
      <c r="D653" s="377"/>
      <c r="E653" s="377"/>
      <c r="F653" s="377"/>
      <c r="G653" s="377"/>
    </row>
    <row r="654" spans="1:7" ht="16.5">
      <c r="A654" s="695"/>
      <c r="B654" s="377"/>
      <c r="C654" s="377"/>
      <c r="D654" s="377"/>
      <c r="E654" s="377"/>
      <c r="F654" s="377"/>
      <c r="G654" s="377"/>
    </row>
    <row r="655" spans="1:7" ht="16.5">
      <c r="A655" s="695"/>
      <c r="B655" s="377"/>
      <c r="C655" s="377"/>
      <c r="D655" s="377"/>
      <c r="E655" s="377"/>
      <c r="F655" s="377"/>
      <c r="G655" s="377"/>
    </row>
    <row r="656" spans="1:7" ht="16.5">
      <c r="A656" s="695"/>
      <c r="B656" s="377"/>
      <c r="C656" s="377"/>
      <c r="D656" s="377"/>
      <c r="E656" s="377"/>
      <c r="F656" s="377"/>
      <c r="G656" s="377"/>
    </row>
    <row r="657" spans="1:7" ht="16.5">
      <c r="A657" s="695"/>
      <c r="B657" s="377"/>
      <c r="C657" s="377"/>
      <c r="D657" s="377"/>
      <c r="E657" s="377"/>
      <c r="F657" s="377"/>
      <c r="G657" s="377"/>
    </row>
    <row r="658" spans="1:7" ht="16.5">
      <c r="A658" s="695"/>
      <c r="B658" s="377"/>
      <c r="C658" s="377"/>
      <c r="D658" s="377"/>
      <c r="E658" s="377"/>
      <c r="F658" s="377"/>
      <c r="G658" s="377"/>
    </row>
    <row r="659" spans="1:7" ht="16.5">
      <c r="A659" s="695"/>
      <c r="B659" s="377"/>
      <c r="C659" s="377"/>
      <c r="D659" s="377"/>
      <c r="E659" s="377"/>
      <c r="F659" s="377"/>
      <c r="G659" s="377"/>
    </row>
    <row r="660" spans="1:7" ht="16.5">
      <c r="A660" s="695"/>
      <c r="B660" s="377"/>
      <c r="C660" s="377"/>
      <c r="D660" s="377"/>
      <c r="E660" s="377"/>
      <c r="F660" s="377"/>
      <c r="G660" s="377"/>
    </row>
    <row r="661" spans="1:7" ht="16.5">
      <c r="A661" s="695"/>
      <c r="B661" s="377"/>
      <c r="C661" s="377"/>
      <c r="D661" s="377"/>
      <c r="E661" s="377"/>
      <c r="F661" s="377"/>
      <c r="G661" s="377"/>
    </row>
    <row r="662" spans="1:7" ht="16.5">
      <c r="A662" s="695"/>
      <c r="B662" s="377"/>
      <c r="C662" s="377"/>
      <c r="D662" s="377"/>
      <c r="E662" s="377"/>
      <c r="F662" s="377"/>
      <c r="G662" s="377"/>
    </row>
    <row r="663" spans="1:7" ht="16.5">
      <c r="A663" s="695"/>
      <c r="B663" s="377"/>
      <c r="C663" s="377"/>
      <c r="D663" s="377"/>
      <c r="E663" s="377"/>
      <c r="F663" s="377"/>
      <c r="G663" s="377"/>
    </row>
    <row r="664" spans="1:7" ht="16.5">
      <c r="A664" s="695"/>
      <c r="B664" s="377"/>
      <c r="C664" s="377"/>
      <c r="D664" s="377"/>
      <c r="E664" s="377"/>
      <c r="F664" s="377"/>
      <c r="G664" s="377"/>
    </row>
    <row r="665" spans="1:7" ht="16.5">
      <c r="A665" s="695"/>
      <c r="B665" s="377"/>
      <c r="C665" s="377"/>
      <c r="D665" s="377"/>
      <c r="E665" s="377"/>
      <c r="F665" s="377"/>
      <c r="G665" s="377"/>
    </row>
    <row r="666" spans="1:7" ht="16.5">
      <c r="A666" s="695"/>
      <c r="B666" s="377"/>
      <c r="C666" s="377"/>
      <c r="D666" s="377"/>
      <c r="E666" s="377"/>
      <c r="F666" s="377"/>
      <c r="G666" s="377"/>
    </row>
    <row r="667" spans="1:7" ht="16.5">
      <c r="A667" s="695"/>
      <c r="B667" s="377"/>
      <c r="C667" s="377"/>
      <c r="D667" s="377"/>
      <c r="E667" s="377"/>
      <c r="F667" s="377"/>
      <c r="G667" s="377"/>
    </row>
    <row r="668" spans="1:7" ht="16.5">
      <c r="A668" s="695"/>
      <c r="B668" s="377"/>
      <c r="C668" s="377"/>
      <c r="D668" s="377"/>
      <c r="E668" s="377"/>
      <c r="F668" s="377"/>
      <c r="G668" s="377"/>
    </row>
    <row r="669" spans="1:7" ht="16.5">
      <c r="A669" s="695"/>
      <c r="B669" s="377"/>
      <c r="C669" s="377"/>
      <c r="D669" s="377"/>
      <c r="E669" s="377"/>
      <c r="F669" s="377"/>
      <c r="G669" s="377"/>
    </row>
    <row r="670" spans="1:7" ht="16.5">
      <c r="A670" s="695"/>
      <c r="B670" s="377"/>
      <c r="C670" s="377"/>
      <c r="D670" s="377"/>
      <c r="E670" s="377"/>
      <c r="F670" s="377"/>
      <c r="G670" s="377"/>
    </row>
    <row r="671" spans="1:7" ht="16.5">
      <c r="A671" s="695"/>
      <c r="B671" s="377"/>
      <c r="C671" s="377"/>
      <c r="D671" s="377"/>
      <c r="E671" s="377"/>
      <c r="F671" s="377"/>
      <c r="G671" s="377"/>
    </row>
    <row r="672" spans="1:7" ht="16.5">
      <c r="A672" s="695"/>
      <c r="B672" s="377"/>
      <c r="C672" s="377"/>
      <c r="D672" s="377"/>
      <c r="E672" s="377"/>
      <c r="F672" s="377"/>
      <c r="G672" s="377"/>
    </row>
    <row r="673" spans="1:7" ht="16.5">
      <c r="A673" s="695"/>
      <c r="B673" s="377"/>
      <c r="C673" s="377"/>
      <c r="D673" s="377"/>
      <c r="E673" s="377"/>
      <c r="F673" s="377"/>
      <c r="G673" s="377"/>
    </row>
    <row r="674" spans="1:7" ht="16.5">
      <c r="A674" s="695"/>
      <c r="B674" s="377"/>
      <c r="C674" s="377"/>
      <c r="D674" s="377"/>
      <c r="E674" s="377"/>
      <c r="F674" s="377"/>
      <c r="G674" s="377"/>
    </row>
    <row r="675" spans="1:7" ht="16.5">
      <c r="A675" s="695"/>
      <c r="B675" s="377"/>
      <c r="C675" s="377"/>
      <c r="D675" s="377"/>
      <c r="E675" s="377"/>
      <c r="F675" s="377"/>
      <c r="G675" s="377"/>
    </row>
    <row r="676" spans="1:7" ht="16.5">
      <c r="A676" s="695"/>
      <c r="B676" s="377"/>
      <c r="C676" s="377"/>
      <c r="D676" s="377"/>
      <c r="E676" s="377"/>
      <c r="F676" s="377"/>
      <c r="G676" s="377"/>
    </row>
    <row r="677" spans="1:7" ht="16.5">
      <c r="A677" s="695"/>
      <c r="B677" s="377"/>
      <c r="C677" s="377"/>
      <c r="D677" s="377"/>
      <c r="E677" s="377"/>
      <c r="F677" s="377"/>
      <c r="G677" s="377"/>
    </row>
    <row r="678" spans="1:7" ht="16.5">
      <c r="A678" s="695"/>
      <c r="B678" s="377"/>
      <c r="C678" s="377"/>
      <c r="D678" s="377"/>
      <c r="E678" s="377"/>
      <c r="F678" s="377"/>
      <c r="G678" s="377"/>
    </row>
    <row r="679" spans="1:7" ht="16.5">
      <c r="A679" s="695"/>
      <c r="B679" s="377"/>
      <c r="C679" s="377"/>
      <c r="D679" s="377"/>
      <c r="E679" s="377"/>
      <c r="F679" s="377"/>
      <c r="G679" s="377"/>
    </row>
    <row r="680" spans="1:7" ht="16.5">
      <c r="A680" s="695"/>
      <c r="B680" s="377"/>
      <c r="C680" s="377"/>
      <c r="D680" s="377"/>
      <c r="E680" s="377"/>
      <c r="F680" s="377"/>
      <c r="G680" s="377"/>
    </row>
    <row r="681" spans="1:7" ht="16.5">
      <c r="A681" s="695"/>
      <c r="B681" s="377"/>
      <c r="C681" s="377"/>
      <c r="D681" s="377"/>
      <c r="E681" s="377"/>
      <c r="F681" s="377"/>
      <c r="G681" s="377"/>
    </row>
    <row r="682" spans="1:7" ht="16.5">
      <c r="A682" s="695"/>
      <c r="B682" s="377"/>
      <c r="C682" s="377"/>
      <c r="D682" s="377"/>
      <c r="E682" s="377"/>
      <c r="F682" s="377"/>
      <c r="G682" s="377"/>
    </row>
    <row r="683" spans="1:7" ht="16.5">
      <c r="A683" s="695"/>
      <c r="B683" s="377"/>
      <c r="C683" s="377"/>
      <c r="D683" s="377"/>
      <c r="E683" s="377"/>
      <c r="F683" s="377"/>
      <c r="G683" s="377"/>
    </row>
    <row r="684" spans="1:7" ht="16.5">
      <c r="A684" s="695"/>
      <c r="B684" s="377"/>
      <c r="C684" s="377"/>
      <c r="D684" s="377"/>
      <c r="E684" s="377"/>
      <c r="F684" s="377"/>
      <c r="G684" s="377"/>
    </row>
    <row r="685" spans="1:7" ht="16.5">
      <c r="A685" s="695"/>
      <c r="B685" s="377"/>
      <c r="C685" s="377"/>
      <c r="D685" s="377"/>
      <c r="E685" s="377"/>
      <c r="F685" s="377"/>
      <c r="G685" s="377"/>
    </row>
    <row r="686" spans="1:7" ht="16.5">
      <c r="A686" s="695"/>
      <c r="B686" s="377"/>
      <c r="C686" s="377"/>
      <c r="D686" s="377"/>
      <c r="E686" s="377"/>
      <c r="F686" s="377"/>
      <c r="G686" s="377"/>
    </row>
    <row r="687" spans="1:7" ht="16.5">
      <c r="A687" s="695"/>
      <c r="B687" s="377"/>
      <c r="C687" s="377"/>
      <c r="D687" s="377"/>
      <c r="E687" s="377"/>
      <c r="F687" s="377"/>
      <c r="G687" s="377"/>
    </row>
    <row r="688" spans="1:7" ht="16.5">
      <c r="A688" s="695"/>
      <c r="B688" s="377"/>
      <c r="C688" s="377"/>
      <c r="D688" s="377"/>
      <c r="E688" s="377"/>
      <c r="F688" s="377"/>
      <c r="G688" s="377"/>
    </row>
    <row r="689" spans="1:7" ht="16.5">
      <c r="A689" s="695"/>
      <c r="B689" s="377"/>
      <c r="C689" s="377"/>
      <c r="D689" s="377"/>
      <c r="E689" s="377"/>
      <c r="F689" s="377"/>
      <c r="G689" s="377"/>
    </row>
    <row r="690" spans="1:7" ht="16.5">
      <c r="A690" s="695"/>
      <c r="B690" s="377"/>
      <c r="C690" s="377"/>
      <c r="D690" s="377"/>
      <c r="E690" s="377"/>
      <c r="F690" s="377"/>
      <c r="G690" s="377"/>
    </row>
    <row r="691" spans="1:7" ht="16.5">
      <c r="A691" s="695"/>
      <c r="B691" s="377"/>
      <c r="C691" s="377"/>
      <c r="D691" s="377"/>
      <c r="E691" s="377"/>
      <c r="F691" s="377"/>
      <c r="G691" s="377"/>
    </row>
    <row r="692" spans="1:7" ht="16.5">
      <c r="A692" s="695"/>
      <c r="B692" s="377"/>
      <c r="C692" s="377"/>
      <c r="D692" s="377"/>
      <c r="E692" s="377"/>
      <c r="F692" s="377"/>
      <c r="G692" s="377"/>
    </row>
    <row r="693" spans="1:7" ht="16.5">
      <c r="A693" s="695"/>
      <c r="B693" s="377"/>
      <c r="C693" s="377"/>
      <c r="D693" s="377"/>
      <c r="E693" s="377"/>
      <c r="F693" s="377"/>
      <c r="G693" s="377"/>
    </row>
    <row r="694" spans="1:7" ht="16.5">
      <c r="A694" s="695"/>
      <c r="B694" s="377"/>
      <c r="C694" s="377"/>
      <c r="D694" s="377"/>
      <c r="E694" s="377"/>
      <c r="F694" s="377"/>
      <c r="G694" s="377"/>
    </row>
    <row r="695" spans="1:7" ht="16.5">
      <c r="A695" s="695"/>
      <c r="B695" s="377"/>
      <c r="C695" s="377"/>
      <c r="D695" s="377"/>
      <c r="E695" s="377"/>
      <c r="F695" s="377"/>
      <c r="G695" s="377"/>
    </row>
    <row r="696" spans="1:7" ht="16.5">
      <c r="A696" s="695"/>
      <c r="B696" s="377"/>
      <c r="C696" s="377"/>
      <c r="D696" s="377"/>
      <c r="E696" s="377"/>
      <c r="F696" s="377"/>
      <c r="G696" s="377"/>
    </row>
    <row r="697" spans="1:7" ht="16.5">
      <c r="A697" s="695"/>
      <c r="B697" s="377"/>
      <c r="C697" s="377"/>
      <c r="D697" s="377"/>
      <c r="E697" s="377"/>
      <c r="F697" s="377"/>
      <c r="G697" s="377"/>
    </row>
    <row r="698" spans="1:7" ht="16.5">
      <c r="A698" s="695"/>
      <c r="B698" s="377"/>
      <c r="C698" s="377"/>
      <c r="D698" s="377"/>
      <c r="E698" s="377"/>
      <c r="F698" s="377"/>
      <c r="G698" s="377"/>
    </row>
    <row r="699" spans="1:7" ht="16.5">
      <c r="A699" s="695"/>
      <c r="B699" s="377"/>
      <c r="C699" s="377"/>
      <c r="D699" s="377"/>
      <c r="E699" s="377"/>
      <c r="F699" s="377"/>
      <c r="G699" s="377"/>
    </row>
    <row r="700" spans="1:7" ht="16.5">
      <c r="A700" s="695"/>
      <c r="B700" s="377"/>
      <c r="C700" s="377"/>
      <c r="D700" s="377"/>
      <c r="E700" s="377"/>
      <c r="F700" s="377"/>
      <c r="G700" s="377"/>
    </row>
    <row r="701" spans="1:7" ht="16.5">
      <c r="A701" s="695"/>
      <c r="B701" s="377"/>
      <c r="C701" s="377"/>
      <c r="D701" s="377"/>
      <c r="E701" s="377"/>
      <c r="F701" s="377"/>
      <c r="G701" s="377"/>
    </row>
    <row r="702" spans="1:7" ht="16.5">
      <c r="A702" s="695"/>
      <c r="B702" s="377"/>
      <c r="C702" s="377"/>
      <c r="D702" s="377"/>
      <c r="E702" s="377"/>
      <c r="F702" s="377"/>
      <c r="G702" s="377"/>
    </row>
    <row r="703" spans="1:7" ht="16.5">
      <c r="A703" s="695"/>
      <c r="B703" s="377"/>
      <c r="C703" s="377"/>
      <c r="D703" s="377"/>
      <c r="E703" s="377"/>
      <c r="F703" s="377"/>
      <c r="G703" s="377"/>
    </row>
    <row r="704" spans="1:7" ht="16.5">
      <c r="A704" s="695"/>
      <c r="B704" s="377"/>
      <c r="C704" s="377"/>
      <c r="D704" s="377"/>
      <c r="E704" s="377"/>
      <c r="F704" s="377"/>
      <c r="G704" s="377"/>
    </row>
    <row r="705" spans="1:7" ht="16.5">
      <c r="A705" s="695"/>
      <c r="B705" s="377"/>
      <c r="C705" s="377"/>
      <c r="D705" s="377"/>
      <c r="E705" s="377"/>
      <c r="F705" s="377"/>
      <c r="G705" s="377"/>
    </row>
    <row r="706" spans="1:7" ht="16.5">
      <c r="A706" s="695"/>
      <c r="B706" s="377"/>
      <c r="C706" s="377"/>
      <c r="D706" s="377"/>
      <c r="E706" s="377"/>
      <c r="F706" s="377"/>
      <c r="G706" s="377"/>
    </row>
    <row r="707" spans="1:7" ht="16.5">
      <c r="A707" s="695"/>
      <c r="B707" s="377"/>
      <c r="C707" s="377"/>
      <c r="D707" s="377"/>
      <c r="E707" s="377"/>
      <c r="F707" s="377"/>
      <c r="G707" s="377"/>
    </row>
    <row r="708" spans="1:7" ht="16.5">
      <c r="A708" s="695"/>
      <c r="B708" s="377"/>
      <c r="C708" s="377"/>
      <c r="D708" s="377"/>
      <c r="E708" s="377"/>
      <c r="F708" s="377"/>
      <c r="G708" s="377"/>
    </row>
    <row r="709" spans="1:7" ht="16.5">
      <c r="A709" s="695"/>
      <c r="B709" s="377"/>
      <c r="C709" s="377"/>
      <c r="D709" s="377"/>
      <c r="E709" s="377"/>
      <c r="F709" s="377"/>
      <c r="G709" s="377"/>
    </row>
    <row r="710" spans="1:7" ht="16.5">
      <c r="A710" s="695"/>
      <c r="B710" s="377"/>
      <c r="C710" s="377"/>
      <c r="D710" s="377"/>
      <c r="E710" s="377"/>
      <c r="F710" s="377"/>
      <c r="G710" s="377"/>
    </row>
    <row r="711" spans="1:7" ht="16.5">
      <c r="A711" s="695"/>
      <c r="B711" s="377"/>
      <c r="C711" s="377"/>
      <c r="D711" s="377"/>
      <c r="E711" s="377"/>
      <c r="F711" s="377"/>
      <c r="G711" s="377"/>
    </row>
    <row r="712" spans="1:7" ht="16.5">
      <c r="A712" s="695"/>
      <c r="B712" s="377"/>
      <c r="C712" s="377"/>
      <c r="D712" s="377"/>
      <c r="E712" s="377"/>
      <c r="F712" s="377"/>
      <c r="G712" s="377"/>
    </row>
    <row r="713" spans="1:7" ht="16.5">
      <c r="A713" s="695"/>
      <c r="B713" s="377"/>
      <c r="C713" s="377"/>
      <c r="D713" s="377"/>
      <c r="E713" s="377"/>
      <c r="F713" s="377"/>
      <c r="G713" s="377"/>
    </row>
    <row r="714" spans="1:7" ht="16.5">
      <c r="A714" s="695"/>
      <c r="B714" s="377"/>
      <c r="C714" s="377"/>
      <c r="D714" s="377"/>
      <c r="E714" s="377"/>
      <c r="F714" s="377"/>
      <c r="G714" s="377"/>
    </row>
    <row r="715" spans="1:7" ht="16.5">
      <c r="A715" s="695"/>
      <c r="B715" s="377"/>
      <c r="C715" s="377"/>
      <c r="D715" s="377"/>
      <c r="E715" s="377"/>
      <c r="F715" s="377"/>
      <c r="G715" s="377"/>
    </row>
    <row r="716" spans="1:7" ht="16.5">
      <c r="A716" s="695"/>
      <c r="B716" s="377"/>
      <c r="C716" s="377"/>
      <c r="D716" s="377"/>
      <c r="E716" s="377"/>
      <c r="F716" s="377"/>
      <c r="G716" s="377"/>
    </row>
    <row r="717" spans="1:7" ht="16.5">
      <c r="A717" s="695"/>
      <c r="B717" s="377"/>
      <c r="C717" s="377"/>
      <c r="D717" s="377"/>
      <c r="E717" s="377"/>
      <c r="F717" s="377"/>
      <c r="G717" s="377"/>
    </row>
    <row r="718" spans="1:7" ht="16.5">
      <c r="A718" s="695"/>
      <c r="B718" s="377"/>
      <c r="C718" s="377"/>
      <c r="D718" s="377"/>
      <c r="E718" s="377"/>
      <c r="F718" s="377"/>
      <c r="G718" s="377"/>
    </row>
    <row r="719" spans="1:7" ht="16.5">
      <c r="A719" s="695"/>
      <c r="B719" s="377"/>
      <c r="C719" s="377"/>
      <c r="D719" s="377"/>
      <c r="E719" s="377"/>
      <c r="F719" s="377"/>
      <c r="G719" s="377"/>
    </row>
    <row r="720" spans="1:7" ht="16.5">
      <c r="A720" s="695"/>
      <c r="B720" s="377"/>
      <c r="C720" s="377"/>
      <c r="D720" s="377"/>
      <c r="E720" s="377"/>
      <c r="F720" s="377"/>
      <c r="G720" s="377"/>
    </row>
    <row r="721" spans="1:7" ht="16.5">
      <c r="A721" s="695"/>
      <c r="B721" s="377"/>
      <c r="C721" s="377"/>
      <c r="D721" s="377"/>
      <c r="E721" s="377"/>
      <c r="F721" s="377"/>
      <c r="G721" s="377"/>
    </row>
    <row r="722" spans="1:7" ht="16.5">
      <c r="A722" s="695"/>
      <c r="B722" s="377"/>
      <c r="C722" s="377"/>
      <c r="D722" s="377"/>
      <c r="E722" s="377"/>
      <c r="F722" s="377"/>
      <c r="G722" s="377"/>
    </row>
    <row r="723" spans="1:7" ht="16.5">
      <c r="A723" s="695"/>
      <c r="B723" s="377"/>
      <c r="C723" s="377"/>
      <c r="D723" s="377"/>
      <c r="E723" s="377"/>
      <c r="F723" s="377"/>
      <c r="G723" s="377"/>
    </row>
    <row r="724" spans="1:7" ht="16.5">
      <c r="A724" s="695"/>
      <c r="B724" s="377"/>
      <c r="C724" s="377"/>
      <c r="D724" s="377"/>
      <c r="E724" s="377"/>
      <c r="F724" s="377"/>
      <c r="G724" s="377"/>
    </row>
    <row r="725" spans="1:7" ht="16.5">
      <c r="A725" s="695"/>
      <c r="B725" s="377"/>
      <c r="C725" s="377"/>
      <c r="D725" s="377"/>
      <c r="E725" s="377"/>
      <c r="F725" s="377"/>
      <c r="G725" s="377"/>
    </row>
    <row r="726" spans="1:7" ht="16.5">
      <c r="A726" s="695"/>
      <c r="B726" s="377"/>
      <c r="C726" s="377"/>
      <c r="D726" s="377"/>
      <c r="E726" s="377"/>
      <c r="F726" s="377"/>
      <c r="G726" s="377"/>
    </row>
    <row r="727" spans="1:7" ht="16.5">
      <c r="A727" s="695"/>
      <c r="B727" s="377"/>
      <c r="C727" s="377"/>
      <c r="D727" s="377"/>
      <c r="E727" s="377"/>
      <c r="F727" s="377"/>
      <c r="G727" s="377"/>
    </row>
    <row r="728" spans="1:7" ht="16.5">
      <c r="A728" s="695"/>
      <c r="B728" s="377"/>
      <c r="C728" s="377"/>
      <c r="D728" s="377"/>
      <c r="E728" s="377"/>
      <c r="F728" s="377"/>
      <c r="G728" s="377"/>
    </row>
    <row r="729" spans="1:7" ht="16.5">
      <c r="A729" s="695"/>
      <c r="B729" s="377"/>
      <c r="C729" s="377"/>
      <c r="D729" s="377"/>
      <c r="E729" s="377"/>
      <c r="F729" s="377"/>
      <c r="G729" s="377"/>
    </row>
    <row r="730" spans="1:7" ht="16.5">
      <c r="A730" s="695"/>
      <c r="B730" s="377"/>
      <c r="C730" s="377"/>
      <c r="D730" s="377"/>
      <c r="E730" s="377"/>
      <c r="F730" s="377"/>
      <c r="G730" s="377"/>
    </row>
    <row r="731" spans="1:7" ht="16.5">
      <c r="A731" s="695"/>
      <c r="B731" s="377"/>
      <c r="C731" s="377"/>
      <c r="D731" s="377"/>
      <c r="E731" s="377"/>
      <c r="F731" s="377"/>
      <c r="G731" s="377"/>
    </row>
    <row r="732" spans="1:7" ht="16.5">
      <c r="A732" s="695"/>
      <c r="B732" s="377"/>
      <c r="C732" s="377"/>
      <c r="D732" s="377"/>
      <c r="E732" s="377"/>
      <c r="F732" s="377"/>
      <c r="G732" s="377"/>
    </row>
    <row r="733" spans="1:7" ht="16.5">
      <c r="A733" s="695"/>
      <c r="B733" s="377"/>
      <c r="C733" s="377"/>
      <c r="D733" s="377"/>
      <c r="E733" s="377"/>
      <c r="F733" s="377"/>
      <c r="G733" s="377"/>
    </row>
    <row r="734" spans="1:7" ht="16.5">
      <c r="A734" s="695"/>
      <c r="B734" s="377"/>
      <c r="C734" s="377"/>
      <c r="D734" s="377"/>
      <c r="E734" s="377"/>
      <c r="F734" s="377"/>
      <c r="G734" s="377"/>
    </row>
    <row r="735" spans="1:7" ht="16.5">
      <c r="A735" s="695"/>
      <c r="B735" s="377"/>
      <c r="C735" s="377"/>
      <c r="D735" s="377"/>
      <c r="E735" s="377"/>
      <c r="F735" s="377"/>
      <c r="G735" s="377"/>
    </row>
    <row r="736" spans="1:7" ht="16.5">
      <c r="A736" s="695"/>
      <c r="B736" s="377"/>
      <c r="C736" s="377"/>
      <c r="D736" s="377"/>
      <c r="E736" s="377"/>
      <c r="F736" s="377"/>
      <c r="G736" s="377"/>
    </row>
    <row r="737" spans="1:7" ht="16.5">
      <c r="A737" s="695"/>
      <c r="B737" s="377"/>
      <c r="C737" s="377"/>
      <c r="D737" s="377"/>
      <c r="E737" s="377"/>
      <c r="F737" s="377"/>
      <c r="G737" s="377"/>
    </row>
    <row r="738" spans="1:7" ht="16.5">
      <c r="A738" s="695"/>
      <c r="B738" s="377"/>
      <c r="C738" s="377"/>
      <c r="D738" s="377"/>
      <c r="E738" s="377"/>
      <c r="F738" s="377"/>
      <c r="G738" s="377"/>
    </row>
    <row r="739" spans="1:7" ht="16.5">
      <c r="A739" s="695"/>
      <c r="B739" s="377"/>
      <c r="C739" s="377"/>
      <c r="D739" s="377"/>
      <c r="E739" s="377"/>
      <c r="F739" s="377"/>
      <c r="G739" s="377"/>
    </row>
    <row r="740" spans="1:7" ht="16.5">
      <c r="A740" s="695"/>
      <c r="B740" s="377"/>
      <c r="C740" s="377"/>
      <c r="D740" s="377"/>
      <c r="E740" s="377"/>
      <c r="F740" s="377"/>
      <c r="G740" s="377"/>
    </row>
    <row r="741" spans="1:7" ht="16.5">
      <c r="A741" s="695"/>
      <c r="B741" s="377"/>
      <c r="C741" s="377"/>
      <c r="D741" s="377"/>
      <c r="E741" s="377"/>
      <c r="F741" s="377"/>
      <c r="G741" s="377"/>
    </row>
    <row r="742" spans="1:7" ht="16.5">
      <c r="A742" s="695"/>
      <c r="B742" s="377"/>
      <c r="C742" s="377"/>
      <c r="D742" s="377"/>
      <c r="E742" s="377"/>
      <c r="F742" s="377"/>
      <c r="G742" s="377"/>
    </row>
    <row r="743" spans="1:7" ht="16.5">
      <c r="A743" s="695"/>
      <c r="B743" s="377"/>
      <c r="C743" s="377"/>
      <c r="D743" s="377"/>
      <c r="E743" s="377"/>
      <c r="F743" s="377"/>
      <c r="G743" s="377"/>
    </row>
    <row r="744" spans="1:7" ht="16.5">
      <c r="A744" s="695"/>
      <c r="B744" s="377"/>
      <c r="C744" s="377"/>
      <c r="D744" s="377"/>
      <c r="E744" s="377"/>
      <c r="F744" s="377"/>
      <c r="G744" s="377"/>
    </row>
    <row r="745" spans="1:7" ht="16.5">
      <c r="A745" s="695"/>
      <c r="B745" s="377"/>
      <c r="C745" s="377"/>
      <c r="D745" s="377"/>
      <c r="E745" s="377"/>
      <c r="F745" s="377"/>
      <c r="G745" s="377"/>
    </row>
    <row r="746" spans="1:7" ht="16.5">
      <c r="A746" s="695"/>
      <c r="B746" s="377"/>
      <c r="C746" s="377"/>
      <c r="D746" s="377"/>
      <c r="E746" s="377"/>
      <c r="F746" s="377"/>
      <c r="G746" s="377"/>
    </row>
    <row r="747" spans="1:7" ht="16.5">
      <c r="A747" s="695"/>
      <c r="B747" s="377"/>
      <c r="C747" s="377"/>
      <c r="D747" s="377"/>
      <c r="E747" s="377"/>
      <c r="F747" s="377"/>
      <c r="G747" s="377"/>
    </row>
    <row r="748" spans="1:7" ht="16.5">
      <c r="A748" s="695"/>
      <c r="B748" s="377"/>
      <c r="C748" s="377"/>
      <c r="D748" s="377"/>
      <c r="E748" s="377"/>
      <c r="F748" s="377"/>
      <c r="G748" s="377"/>
    </row>
    <row r="749" spans="1:7" ht="16.5">
      <c r="A749" s="695"/>
      <c r="B749" s="377"/>
      <c r="C749" s="377"/>
      <c r="D749" s="377"/>
      <c r="E749" s="377"/>
      <c r="F749" s="377"/>
      <c r="G749" s="377"/>
    </row>
    <row r="750" spans="1:7" ht="16.5">
      <c r="A750" s="695"/>
      <c r="B750" s="377"/>
      <c r="C750" s="377"/>
      <c r="D750" s="377"/>
      <c r="E750" s="377"/>
      <c r="F750" s="377"/>
      <c r="G750" s="377"/>
    </row>
    <row r="751" spans="1:7" ht="16.5">
      <c r="A751" s="695"/>
      <c r="B751" s="377"/>
      <c r="C751" s="377"/>
      <c r="D751" s="377"/>
      <c r="E751" s="377"/>
      <c r="F751" s="377"/>
      <c r="G751" s="377"/>
    </row>
    <row r="752" spans="1:7" ht="16.5">
      <c r="A752" s="695"/>
      <c r="B752" s="377"/>
      <c r="C752" s="377"/>
      <c r="D752" s="377"/>
      <c r="E752" s="377"/>
      <c r="F752" s="377"/>
      <c r="G752" s="377"/>
    </row>
    <row r="753" spans="1:7" ht="16.5">
      <c r="A753" s="695"/>
      <c r="B753" s="377"/>
      <c r="C753" s="377"/>
      <c r="D753" s="377"/>
      <c r="E753" s="377"/>
      <c r="F753" s="377"/>
      <c r="G753" s="377"/>
    </row>
    <row r="754" spans="1:7" ht="16.5">
      <c r="A754" s="695"/>
      <c r="B754" s="377"/>
      <c r="C754" s="377"/>
      <c r="D754" s="377"/>
      <c r="E754" s="377"/>
      <c r="F754" s="377"/>
      <c r="G754" s="377"/>
    </row>
    <row r="755" spans="1:7" ht="16.5">
      <c r="A755" s="695"/>
      <c r="B755" s="377"/>
      <c r="C755" s="377"/>
      <c r="D755" s="377"/>
      <c r="E755" s="377"/>
      <c r="F755" s="377"/>
      <c r="G755" s="377"/>
    </row>
    <row r="756" spans="1:7" ht="16.5">
      <c r="A756" s="695"/>
      <c r="B756" s="377"/>
      <c r="C756" s="377"/>
      <c r="D756" s="377"/>
      <c r="E756" s="377"/>
      <c r="F756" s="377"/>
      <c r="G756" s="377"/>
    </row>
    <row r="757" spans="1:7" ht="16.5">
      <c r="A757" s="695"/>
      <c r="B757" s="377"/>
      <c r="C757" s="377"/>
      <c r="D757" s="377"/>
      <c r="E757" s="377"/>
      <c r="F757" s="377"/>
      <c r="G757" s="377"/>
    </row>
    <row r="758" spans="1:7" ht="16.5">
      <c r="A758" s="695"/>
      <c r="B758" s="377"/>
      <c r="C758" s="377"/>
      <c r="D758" s="377"/>
      <c r="E758" s="377"/>
      <c r="F758" s="377"/>
      <c r="G758" s="377"/>
    </row>
    <row r="759" spans="1:7" ht="16.5">
      <c r="A759" s="695"/>
      <c r="B759" s="377"/>
      <c r="C759" s="377"/>
      <c r="D759" s="377"/>
      <c r="E759" s="377"/>
      <c r="F759" s="377"/>
      <c r="G759" s="377"/>
    </row>
    <row r="760" spans="1:7" ht="16.5">
      <c r="A760" s="695"/>
      <c r="B760" s="377"/>
      <c r="C760" s="377"/>
      <c r="D760" s="377"/>
      <c r="E760" s="377"/>
      <c r="F760" s="377"/>
      <c r="G760" s="377"/>
    </row>
    <row r="761" spans="1:7" ht="16.5">
      <c r="A761" s="695"/>
      <c r="B761" s="377"/>
      <c r="C761" s="377"/>
      <c r="D761" s="377"/>
      <c r="E761" s="377"/>
      <c r="F761" s="377"/>
      <c r="G761" s="377"/>
    </row>
    <row r="762" spans="1:7" ht="16.5">
      <c r="A762" s="695"/>
      <c r="B762" s="377"/>
      <c r="C762" s="377"/>
      <c r="D762" s="377"/>
      <c r="E762" s="377"/>
      <c r="F762" s="377"/>
      <c r="G762" s="377"/>
    </row>
    <row r="763" spans="1:7" ht="16.5">
      <c r="A763" s="695"/>
      <c r="B763" s="377"/>
      <c r="C763" s="377"/>
      <c r="D763" s="377"/>
      <c r="E763" s="377"/>
      <c r="F763" s="377"/>
      <c r="G763" s="377"/>
    </row>
    <row r="764" spans="1:7" ht="16.5">
      <c r="A764" s="695"/>
      <c r="B764" s="377"/>
      <c r="C764" s="377"/>
      <c r="D764" s="377"/>
      <c r="E764" s="377"/>
      <c r="F764" s="377"/>
      <c r="G764" s="377"/>
    </row>
    <row r="765" spans="1:7" ht="16.5">
      <c r="A765" s="695"/>
      <c r="B765" s="377"/>
      <c r="C765" s="377"/>
      <c r="D765" s="377"/>
      <c r="E765" s="377"/>
      <c r="F765" s="377"/>
      <c r="G765" s="377"/>
    </row>
    <row r="766" spans="1:7" ht="16.5">
      <c r="A766" s="695"/>
      <c r="B766" s="377"/>
      <c r="C766" s="377"/>
      <c r="D766" s="377"/>
      <c r="E766" s="377"/>
      <c r="F766" s="377"/>
      <c r="G766" s="377"/>
    </row>
    <row r="767" spans="1:7" ht="16.5">
      <c r="A767" s="695"/>
      <c r="B767" s="377"/>
      <c r="C767" s="377"/>
      <c r="D767" s="377"/>
      <c r="E767" s="377"/>
      <c r="F767" s="377"/>
      <c r="G767" s="377"/>
    </row>
    <row r="768" spans="1:7" ht="16.5">
      <c r="A768" s="695"/>
      <c r="B768" s="377"/>
      <c r="C768" s="377"/>
      <c r="D768" s="377"/>
      <c r="E768" s="377"/>
      <c r="F768" s="377"/>
      <c r="G768" s="377"/>
    </row>
    <row r="769" spans="1:7" ht="16.5">
      <c r="A769" s="695"/>
      <c r="B769" s="377"/>
      <c r="C769" s="377"/>
      <c r="D769" s="377"/>
      <c r="E769" s="377"/>
      <c r="F769" s="377"/>
      <c r="G769" s="377"/>
    </row>
    <row r="770" spans="1:7" ht="16.5">
      <c r="A770" s="695"/>
      <c r="B770" s="377"/>
      <c r="C770" s="377"/>
      <c r="D770" s="377"/>
      <c r="E770" s="377"/>
      <c r="F770" s="377"/>
      <c r="G770" s="377"/>
    </row>
    <row r="771" spans="1:7" ht="16.5">
      <c r="A771" s="695"/>
      <c r="B771" s="377"/>
      <c r="C771" s="377"/>
      <c r="D771" s="377"/>
      <c r="E771" s="377"/>
      <c r="F771" s="377"/>
      <c r="G771" s="377"/>
    </row>
    <row r="772" spans="1:7" ht="16.5">
      <c r="A772" s="695"/>
      <c r="B772" s="377"/>
      <c r="C772" s="377"/>
      <c r="D772" s="377"/>
      <c r="E772" s="377"/>
      <c r="F772" s="377"/>
      <c r="G772" s="377"/>
    </row>
    <row r="773" spans="1:7" ht="16.5">
      <c r="A773" s="695"/>
      <c r="B773" s="377"/>
      <c r="C773" s="377"/>
      <c r="D773" s="377"/>
      <c r="E773" s="377"/>
      <c r="F773" s="377"/>
      <c r="G773" s="377"/>
    </row>
    <row r="774" spans="1:7" ht="16.5">
      <c r="A774" s="695"/>
      <c r="B774" s="377"/>
      <c r="C774" s="377"/>
      <c r="D774" s="377"/>
      <c r="E774" s="377"/>
      <c r="F774" s="377"/>
      <c r="G774" s="377"/>
    </row>
    <row r="775" spans="1:7" ht="16.5">
      <c r="A775" s="695"/>
      <c r="B775" s="377"/>
      <c r="C775" s="377"/>
      <c r="D775" s="377"/>
      <c r="E775" s="377"/>
      <c r="F775" s="377"/>
      <c r="G775" s="377"/>
    </row>
    <row r="776" spans="1:7" ht="16.5">
      <c r="A776" s="695"/>
      <c r="B776" s="377"/>
      <c r="C776" s="377"/>
      <c r="D776" s="377"/>
      <c r="E776" s="377"/>
      <c r="F776" s="377"/>
      <c r="G776" s="377"/>
    </row>
    <row r="777" spans="1:7" ht="16.5">
      <c r="A777" s="695"/>
      <c r="B777" s="377"/>
      <c r="C777" s="377"/>
      <c r="D777" s="377"/>
      <c r="E777" s="377"/>
      <c r="F777" s="377"/>
      <c r="G777" s="377"/>
    </row>
    <row r="778" spans="1:7" ht="16.5">
      <c r="A778" s="695"/>
      <c r="B778" s="377"/>
      <c r="C778" s="377"/>
      <c r="D778" s="377"/>
      <c r="E778" s="377"/>
      <c r="F778" s="377"/>
      <c r="G778" s="377"/>
    </row>
    <row r="779" spans="1:7" ht="16.5">
      <c r="A779" s="695"/>
      <c r="B779" s="377"/>
      <c r="C779" s="377"/>
      <c r="D779" s="377"/>
      <c r="E779" s="377"/>
      <c r="F779" s="377"/>
      <c r="G779" s="377"/>
    </row>
    <row r="780" spans="1:7" ht="16.5">
      <c r="A780" s="695"/>
      <c r="B780" s="377"/>
      <c r="C780" s="377"/>
      <c r="D780" s="377"/>
      <c r="E780" s="377"/>
      <c r="F780" s="377"/>
      <c r="G780" s="377"/>
    </row>
    <row r="781" spans="1:7" ht="16.5">
      <c r="A781" s="695"/>
      <c r="B781" s="377"/>
      <c r="C781" s="377"/>
      <c r="D781" s="377"/>
      <c r="E781" s="377"/>
      <c r="F781" s="377"/>
      <c r="G781" s="377"/>
    </row>
    <row r="782" spans="1:7" ht="16.5">
      <c r="A782" s="695"/>
      <c r="B782" s="377"/>
      <c r="C782" s="377"/>
      <c r="D782" s="377"/>
      <c r="E782" s="377"/>
      <c r="F782" s="377"/>
      <c r="G782" s="377"/>
    </row>
    <row r="783" spans="1:7" ht="16.5">
      <c r="A783" s="695"/>
      <c r="B783" s="377"/>
      <c r="C783" s="377"/>
      <c r="D783" s="377"/>
      <c r="E783" s="377"/>
      <c r="F783" s="377"/>
      <c r="G783" s="377"/>
    </row>
    <row r="784" spans="1:7" ht="16.5">
      <c r="A784" s="695"/>
      <c r="B784" s="377"/>
      <c r="C784" s="377"/>
      <c r="D784" s="377"/>
      <c r="E784" s="377"/>
      <c r="F784" s="377"/>
      <c r="G784" s="377"/>
    </row>
    <row r="785" spans="1:7" ht="16.5">
      <c r="A785" s="695"/>
      <c r="B785" s="377"/>
      <c r="C785" s="377"/>
      <c r="D785" s="377"/>
      <c r="E785" s="377"/>
      <c r="F785" s="377"/>
      <c r="G785" s="377"/>
    </row>
    <row r="786" spans="1:7" ht="16.5">
      <c r="A786" s="695"/>
      <c r="B786" s="377"/>
      <c r="C786" s="377"/>
      <c r="D786" s="377"/>
      <c r="E786" s="377"/>
      <c r="F786" s="377"/>
      <c r="G786" s="377"/>
    </row>
    <row r="787" spans="1:7" ht="16.5">
      <c r="A787" s="695"/>
      <c r="B787" s="377"/>
      <c r="C787" s="377"/>
      <c r="D787" s="377"/>
      <c r="E787" s="377"/>
      <c r="F787" s="377"/>
      <c r="G787" s="377"/>
    </row>
    <row r="788" spans="1:7" ht="16.5">
      <c r="A788" s="695"/>
      <c r="B788" s="377"/>
      <c r="C788" s="377"/>
      <c r="D788" s="377"/>
      <c r="E788" s="377"/>
      <c r="F788" s="377"/>
      <c r="G788" s="377"/>
    </row>
    <row r="789" spans="1:7" ht="16.5">
      <c r="A789" s="695"/>
      <c r="B789" s="377"/>
      <c r="C789" s="377"/>
      <c r="D789" s="377"/>
      <c r="E789" s="377"/>
      <c r="F789" s="377"/>
      <c r="G789" s="377"/>
    </row>
    <row r="790" spans="1:7" ht="16.5">
      <c r="A790" s="695"/>
      <c r="B790" s="377"/>
      <c r="C790" s="377"/>
      <c r="D790" s="377"/>
      <c r="E790" s="377"/>
      <c r="F790" s="377"/>
      <c r="G790" s="377"/>
    </row>
    <row r="791" spans="1:7" ht="16.5">
      <c r="A791" s="695"/>
      <c r="B791" s="377"/>
      <c r="C791" s="377"/>
      <c r="D791" s="377"/>
      <c r="E791" s="377"/>
      <c r="F791" s="377"/>
      <c r="G791" s="377"/>
    </row>
    <row r="792" spans="1:7" ht="16.5">
      <c r="A792" s="695"/>
      <c r="B792" s="377"/>
      <c r="C792" s="377"/>
      <c r="D792" s="377"/>
      <c r="E792" s="377"/>
      <c r="F792" s="377"/>
      <c r="G792" s="377"/>
    </row>
    <row r="793" spans="1:7" ht="16.5">
      <c r="A793" s="695"/>
      <c r="B793" s="377"/>
      <c r="C793" s="377"/>
      <c r="D793" s="377"/>
      <c r="E793" s="377"/>
      <c r="F793" s="377"/>
      <c r="G793" s="377"/>
    </row>
    <row r="794" spans="1:7" ht="16.5">
      <c r="A794" s="695"/>
      <c r="B794" s="377"/>
      <c r="C794" s="377"/>
      <c r="D794" s="377"/>
      <c r="E794" s="377"/>
      <c r="F794" s="377"/>
      <c r="G794" s="377"/>
    </row>
    <row r="795" spans="1:7" ht="16.5">
      <c r="A795" s="695"/>
      <c r="B795" s="377"/>
      <c r="C795" s="377"/>
      <c r="D795" s="377"/>
      <c r="E795" s="377"/>
      <c r="F795" s="377"/>
      <c r="G795" s="377"/>
    </row>
    <row r="796" spans="1:7" ht="16.5">
      <c r="A796" s="695"/>
      <c r="B796" s="377"/>
      <c r="C796" s="377"/>
      <c r="D796" s="377"/>
      <c r="E796" s="377"/>
      <c r="F796" s="377"/>
      <c r="G796" s="377"/>
    </row>
    <row r="797" spans="1:7" ht="16.5">
      <c r="A797" s="695"/>
      <c r="B797" s="377"/>
      <c r="C797" s="377"/>
      <c r="D797" s="377"/>
      <c r="E797" s="377"/>
      <c r="F797" s="377"/>
      <c r="G797" s="377"/>
    </row>
    <row r="798" spans="1:7" ht="16.5">
      <c r="A798" s="695"/>
      <c r="B798" s="377"/>
      <c r="C798" s="377"/>
      <c r="D798" s="377"/>
      <c r="E798" s="377"/>
      <c r="F798" s="377"/>
      <c r="G798" s="377"/>
    </row>
    <row r="799" spans="1:7" ht="16.5">
      <c r="A799" s="695"/>
      <c r="B799" s="377"/>
      <c r="C799" s="377"/>
      <c r="D799" s="377"/>
      <c r="E799" s="377"/>
      <c r="F799" s="377"/>
      <c r="G799" s="377"/>
    </row>
    <row r="800" spans="1:7" ht="16.5">
      <c r="A800" s="695"/>
      <c r="B800" s="377"/>
      <c r="C800" s="377"/>
      <c r="D800" s="377"/>
      <c r="E800" s="377"/>
      <c r="F800" s="377"/>
      <c r="G800" s="377"/>
    </row>
    <row r="801" spans="1:7" ht="16.5">
      <c r="A801" s="695"/>
      <c r="B801" s="377"/>
      <c r="C801" s="377"/>
      <c r="D801" s="377"/>
      <c r="E801" s="377"/>
      <c r="F801" s="377"/>
      <c r="G801" s="377"/>
    </row>
    <row r="802" spans="1:7" ht="16.5">
      <c r="A802" s="695"/>
      <c r="B802" s="377"/>
      <c r="C802" s="377"/>
      <c r="D802" s="377"/>
      <c r="E802" s="377"/>
      <c r="F802" s="377"/>
      <c r="G802" s="377"/>
    </row>
    <row r="803" spans="1:7" ht="16.5">
      <c r="A803" s="695"/>
      <c r="B803" s="377"/>
      <c r="C803" s="377"/>
      <c r="D803" s="377"/>
      <c r="E803" s="377"/>
      <c r="F803" s="377"/>
      <c r="G803" s="377"/>
    </row>
    <row r="804" spans="1:7" ht="16.5">
      <c r="A804" s="695"/>
      <c r="B804" s="377"/>
      <c r="C804" s="377"/>
      <c r="D804" s="377"/>
      <c r="E804" s="377"/>
      <c r="F804" s="377"/>
      <c r="G804" s="377"/>
    </row>
    <row r="805" spans="1:7" ht="16.5">
      <c r="A805" s="695"/>
      <c r="B805" s="377"/>
      <c r="C805" s="377"/>
      <c r="D805" s="377"/>
      <c r="E805" s="377"/>
      <c r="F805" s="377"/>
      <c r="G805" s="377"/>
    </row>
    <row r="806" spans="1:7" ht="16.5">
      <c r="A806" s="695"/>
      <c r="B806" s="377"/>
      <c r="C806" s="377"/>
      <c r="D806" s="377"/>
      <c r="E806" s="377"/>
      <c r="F806" s="377"/>
      <c r="G806" s="377"/>
    </row>
    <row r="807" spans="1:7" ht="16.5">
      <c r="A807" s="695"/>
      <c r="B807" s="377"/>
      <c r="C807" s="377"/>
      <c r="D807" s="377"/>
      <c r="E807" s="377"/>
      <c r="F807" s="377"/>
      <c r="G807" s="377"/>
    </row>
    <row r="808" spans="1:7" ht="16.5">
      <c r="A808" s="695"/>
      <c r="B808" s="377"/>
      <c r="C808" s="377"/>
      <c r="D808" s="377"/>
      <c r="E808" s="377"/>
      <c r="F808" s="377"/>
      <c r="G808" s="377"/>
    </row>
    <row r="809" spans="1:7" ht="16.5">
      <c r="A809" s="695"/>
      <c r="B809" s="377"/>
      <c r="C809" s="377"/>
      <c r="D809" s="377"/>
      <c r="E809" s="377"/>
      <c r="F809" s="377"/>
      <c r="G809" s="377"/>
    </row>
    <row r="810" spans="1:7" ht="16.5">
      <c r="A810" s="695"/>
      <c r="B810" s="377"/>
      <c r="C810" s="377"/>
      <c r="D810" s="377"/>
      <c r="E810" s="377"/>
      <c r="F810" s="377"/>
      <c r="G810" s="377"/>
    </row>
    <row r="811" spans="1:7" ht="16.5">
      <c r="A811" s="695"/>
      <c r="B811" s="377"/>
      <c r="C811" s="377"/>
      <c r="D811" s="377"/>
      <c r="E811" s="377"/>
      <c r="F811" s="377"/>
      <c r="G811" s="377"/>
    </row>
    <row r="812" spans="1:7" ht="16.5">
      <c r="A812" s="695"/>
      <c r="B812" s="377"/>
      <c r="C812" s="377"/>
      <c r="D812" s="377"/>
      <c r="E812" s="377"/>
      <c r="F812" s="377"/>
      <c r="G812" s="377"/>
    </row>
    <row r="813" spans="1:7" ht="16.5">
      <c r="A813" s="695"/>
      <c r="B813" s="377"/>
      <c r="C813" s="377"/>
      <c r="D813" s="377"/>
      <c r="E813" s="377"/>
      <c r="F813" s="377"/>
      <c r="G813" s="377"/>
    </row>
    <row r="814" spans="1:7" ht="16.5">
      <c r="A814" s="695"/>
      <c r="B814" s="377"/>
      <c r="C814" s="377"/>
      <c r="D814" s="377"/>
      <c r="E814" s="377"/>
      <c r="F814" s="377"/>
      <c r="G814" s="377"/>
    </row>
    <row r="815" spans="1:7" ht="16.5">
      <c r="A815" s="695"/>
      <c r="B815" s="377"/>
      <c r="C815" s="377"/>
      <c r="D815" s="377"/>
      <c r="E815" s="377"/>
      <c r="F815" s="377"/>
      <c r="G815" s="377"/>
    </row>
    <row r="816" spans="1:7" ht="16.5">
      <c r="A816" s="695"/>
      <c r="B816" s="377"/>
      <c r="C816" s="377"/>
      <c r="D816" s="377"/>
      <c r="E816" s="377"/>
      <c r="F816" s="377"/>
      <c r="G816" s="377"/>
    </row>
    <row r="817" spans="1:7" ht="16.5">
      <c r="A817" s="695"/>
      <c r="B817" s="377"/>
      <c r="C817" s="377"/>
      <c r="D817" s="377"/>
      <c r="E817" s="377"/>
      <c r="F817" s="377"/>
      <c r="G817" s="377"/>
    </row>
    <row r="818" spans="1:7" ht="16.5">
      <c r="A818" s="695"/>
      <c r="B818" s="377"/>
      <c r="C818" s="377"/>
      <c r="D818" s="377"/>
      <c r="E818" s="377"/>
      <c r="F818" s="377"/>
      <c r="G818" s="377"/>
    </row>
    <row r="819" spans="1:7" ht="16.5">
      <c r="A819" s="695"/>
      <c r="B819" s="377"/>
      <c r="C819" s="377"/>
      <c r="D819" s="377"/>
      <c r="E819" s="377"/>
      <c r="F819" s="377"/>
      <c r="G819" s="377"/>
    </row>
    <row r="820" spans="1:7" ht="16.5">
      <c r="A820" s="695"/>
      <c r="B820" s="377"/>
      <c r="C820" s="377"/>
      <c r="D820" s="377"/>
      <c r="E820" s="377"/>
      <c r="F820" s="377"/>
      <c r="G820" s="377"/>
    </row>
    <row r="821" spans="1:7" ht="16.5">
      <c r="A821" s="695"/>
      <c r="B821" s="377"/>
      <c r="C821" s="377"/>
      <c r="D821" s="377"/>
      <c r="E821" s="377"/>
      <c r="F821" s="377"/>
      <c r="G821" s="377"/>
    </row>
    <row r="822" spans="1:7" ht="16.5">
      <c r="A822" s="695"/>
      <c r="B822" s="377"/>
      <c r="C822" s="377"/>
      <c r="D822" s="377"/>
      <c r="E822" s="377"/>
      <c r="F822" s="377"/>
      <c r="G822" s="377"/>
    </row>
    <row r="823" spans="1:7" ht="16.5">
      <c r="A823" s="695"/>
      <c r="B823" s="377"/>
      <c r="C823" s="377"/>
      <c r="D823" s="377"/>
      <c r="E823" s="377"/>
      <c r="F823" s="377"/>
      <c r="G823" s="377"/>
    </row>
    <row r="824" spans="1:7" ht="16.5">
      <c r="A824" s="695"/>
      <c r="B824" s="377"/>
      <c r="C824" s="377"/>
      <c r="D824" s="377"/>
      <c r="E824" s="377"/>
      <c r="F824" s="377"/>
      <c r="G824" s="377"/>
    </row>
    <row r="825" spans="1:7" ht="16.5">
      <c r="A825" s="695"/>
      <c r="B825" s="377"/>
      <c r="C825" s="377"/>
      <c r="D825" s="377"/>
      <c r="E825" s="377"/>
      <c r="F825" s="377"/>
      <c r="G825" s="377"/>
    </row>
    <row r="826" spans="1:7" ht="16.5">
      <c r="A826" s="695"/>
      <c r="B826" s="377"/>
      <c r="C826" s="377"/>
      <c r="D826" s="377"/>
      <c r="E826" s="377"/>
      <c r="F826" s="377"/>
      <c r="G826" s="377"/>
    </row>
    <row r="827" spans="1:7" ht="16.5">
      <c r="A827" s="695"/>
      <c r="B827" s="377"/>
      <c r="C827" s="377"/>
      <c r="D827" s="377"/>
      <c r="E827" s="377"/>
      <c r="F827" s="377"/>
      <c r="G827" s="377"/>
    </row>
    <row r="828" spans="1:7" ht="16.5">
      <c r="A828" s="695"/>
      <c r="B828" s="377"/>
      <c r="C828" s="377"/>
      <c r="D828" s="377"/>
      <c r="E828" s="377"/>
      <c r="F828" s="377"/>
      <c r="G828" s="377"/>
    </row>
    <row r="829" spans="1:7" ht="16.5">
      <c r="A829" s="695"/>
      <c r="B829" s="377"/>
      <c r="C829" s="377"/>
      <c r="D829" s="377"/>
      <c r="E829" s="377"/>
      <c r="F829" s="377"/>
      <c r="G829" s="377"/>
    </row>
    <row r="830" spans="1:7" ht="16.5">
      <c r="A830" s="695"/>
      <c r="B830" s="377"/>
      <c r="C830" s="377"/>
      <c r="D830" s="377"/>
      <c r="E830" s="377"/>
      <c r="F830" s="377"/>
      <c r="G830" s="377"/>
    </row>
    <row r="831" spans="1:7" ht="16.5">
      <c r="A831" s="695"/>
      <c r="B831" s="377"/>
      <c r="C831" s="377"/>
      <c r="D831" s="377"/>
      <c r="E831" s="377"/>
      <c r="F831" s="377"/>
      <c r="G831" s="377"/>
    </row>
    <row r="832" spans="1:7" ht="16.5">
      <c r="A832" s="695"/>
      <c r="B832" s="377"/>
      <c r="C832" s="377"/>
      <c r="D832" s="377"/>
      <c r="E832" s="377"/>
      <c r="F832" s="377"/>
      <c r="G832" s="377"/>
    </row>
    <row r="833" spans="1:7" ht="16.5">
      <c r="A833" s="695"/>
      <c r="B833" s="377"/>
      <c r="C833" s="377"/>
      <c r="D833" s="377"/>
      <c r="E833" s="377"/>
      <c r="F833" s="377"/>
      <c r="G833" s="377"/>
    </row>
    <row r="834" spans="1:7" ht="16.5">
      <c r="A834" s="695"/>
      <c r="B834" s="377"/>
      <c r="C834" s="377"/>
      <c r="D834" s="377"/>
      <c r="E834" s="377"/>
      <c r="F834" s="377"/>
      <c r="G834" s="377"/>
    </row>
    <row r="835" spans="1:7" ht="16.5">
      <c r="A835" s="695"/>
      <c r="B835" s="377"/>
      <c r="C835" s="377"/>
      <c r="D835" s="377"/>
      <c r="E835" s="377"/>
      <c r="F835" s="377"/>
      <c r="G835" s="377"/>
    </row>
    <row r="836" spans="1:7" ht="16.5">
      <c r="A836" s="695"/>
      <c r="B836" s="377"/>
      <c r="C836" s="377"/>
      <c r="D836" s="377"/>
      <c r="E836" s="377"/>
      <c r="F836" s="377"/>
      <c r="G836" s="377"/>
    </row>
    <row r="837" spans="1:7" ht="16.5">
      <c r="A837" s="695"/>
      <c r="B837" s="377"/>
      <c r="C837" s="377"/>
      <c r="D837" s="377"/>
      <c r="E837" s="377"/>
      <c r="F837" s="377"/>
      <c r="G837" s="377"/>
    </row>
    <row r="838" spans="1:7" ht="16.5">
      <c r="A838" s="695"/>
      <c r="B838" s="377"/>
      <c r="C838" s="377"/>
      <c r="D838" s="377"/>
      <c r="E838" s="377"/>
      <c r="F838" s="377"/>
      <c r="G838" s="377"/>
    </row>
    <row r="839" spans="1:7" ht="16.5">
      <c r="A839" s="695"/>
      <c r="B839" s="377"/>
      <c r="C839" s="377"/>
      <c r="D839" s="377"/>
      <c r="E839" s="377"/>
      <c r="F839" s="377"/>
      <c r="G839" s="377"/>
    </row>
    <row r="840" spans="1:7" ht="16.5">
      <c r="A840" s="695"/>
      <c r="B840" s="377"/>
      <c r="C840" s="377"/>
      <c r="D840" s="377"/>
      <c r="E840" s="377"/>
      <c r="F840" s="377"/>
      <c r="G840" s="377"/>
    </row>
    <row r="841" spans="1:7" ht="16.5">
      <c r="A841" s="695"/>
      <c r="B841" s="377"/>
      <c r="C841" s="377"/>
      <c r="D841" s="377"/>
      <c r="E841" s="377"/>
      <c r="F841" s="377"/>
      <c r="G841" s="377"/>
    </row>
    <row r="842" spans="1:7" ht="16.5">
      <c r="A842" s="695"/>
      <c r="B842" s="377"/>
      <c r="C842" s="377"/>
      <c r="D842" s="377"/>
      <c r="E842" s="377"/>
      <c r="F842" s="377"/>
      <c r="G842" s="377"/>
    </row>
    <row r="843" spans="1:7" ht="16.5">
      <c r="A843" s="695"/>
      <c r="B843" s="377"/>
      <c r="C843" s="377"/>
      <c r="D843" s="377"/>
      <c r="E843" s="377"/>
      <c r="F843" s="377"/>
      <c r="G843" s="377"/>
    </row>
    <row r="844" spans="1:7" ht="16.5">
      <c r="A844" s="695"/>
      <c r="B844" s="377"/>
      <c r="C844" s="377"/>
      <c r="D844" s="377"/>
      <c r="E844" s="377"/>
      <c r="F844" s="377"/>
      <c r="G844" s="377"/>
    </row>
    <row r="845" spans="1:7" ht="16.5">
      <c r="A845" s="695"/>
      <c r="B845" s="377"/>
      <c r="C845" s="377"/>
      <c r="D845" s="377"/>
      <c r="E845" s="377"/>
      <c r="F845" s="377"/>
      <c r="G845" s="377"/>
    </row>
    <row r="846" spans="1:7" ht="16.5">
      <c r="A846" s="695"/>
      <c r="B846" s="377"/>
      <c r="C846" s="377"/>
      <c r="D846" s="377"/>
      <c r="E846" s="377"/>
      <c r="F846" s="377"/>
      <c r="G846" s="377"/>
    </row>
    <row r="847" spans="1:7" ht="16.5">
      <c r="A847" s="695"/>
      <c r="B847" s="377"/>
      <c r="C847" s="377"/>
      <c r="D847" s="377"/>
      <c r="E847" s="377"/>
      <c r="F847" s="377"/>
      <c r="G847" s="377"/>
    </row>
    <row r="848" spans="1:7" ht="16.5">
      <c r="A848" s="695"/>
      <c r="B848" s="377"/>
      <c r="C848" s="377"/>
      <c r="D848" s="377"/>
      <c r="E848" s="377"/>
      <c r="F848" s="377"/>
      <c r="G848" s="377"/>
    </row>
    <row r="849" spans="1:7" ht="16.5">
      <c r="A849" s="695"/>
      <c r="B849" s="377"/>
      <c r="C849" s="377"/>
      <c r="D849" s="377"/>
      <c r="E849" s="377"/>
      <c r="F849" s="377"/>
      <c r="G849" s="377"/>
    </row>
    <row r="850" spans="1:7" ht="16.5">
      <c r="A850" s="695"/>
      <c r="B850" s="377"/>
      <c r="C850" s="377"/>
      <c r="D850" s="377"/>
      <c r="E850" s="377"/>
      <c r="F850" s="377"/>
      <c r="G850" s="377"/>
    </row>
    <row r="851" spans="1:7" ht="16.5">
      <c r="A851" s="695"/>
      <c r="B851" s="377"/>
      <c r="C851" s="377"/>
      <c r="D851" s="377"/>
      <c r="E851" s="377"/>
      <c r="F851" s="377"/>
      <c r="G851" s="377"/>
    </row>
    <row r="852" spans="1:7" ht="16.5">
      <c r="A852" s="695"/>
      <c r="B852" s="377"/>
      <c r="C852" s="377"/>
      <c r="D852" s="377"/>
      <c r="E852" s="377"/>
      <c r="F852" s="377"/>
      <c r="G852" s="377"/>
    </row>
    <row r="853" spans="1:7" ht="16.5">
      <c r="A853" s="695"/>
      <c r="B853" s="377"/>
      <c r="C853" s="377"/>
      <c r="D853" s="377"/>
      <c r="E853" s="377"/>
      <c r="F853" s="377"/>
      <c r="G853" s="377"/>
    </row>
    <row r="854" spans="1:7" ht="16.5">
      <c r="A854" s="695"/>
      <c r="B854" s="377"/>
      <c r="C854" s="377"/>
      <c r="D854" s="377"/>
      <c r="E854" s="377"/>
      <c r="F854" s="377"/>
      <c r="G854" s="377"/>
    </row>
    <row r="855" spans="1:7" ht="16.5">
      <c r="A855" s="695"/>
      <c r="B855" s="377"/>
      <c r="C855" s="377"/>
      <c r="D855" s="377"/>
      <c r="E855" s="377"/>
      <c r="F855" s="377"/>
      <c r="G855" s="377"/>
    </row>
    <row r="856" spans="1:7" ht="16.5">
      <c r="A856" s="695"/>
      <c r="B856" s="377"/>
      <c r="C856" s="377"/>
      <c r="D856" s="377"/>
      <c r="E856" s="377"/>
      <c r="F856" s="377"/>
      <c r="G856" s="377"/>
    </row>
    <row r="857" spans="1:7" ht="16.5">
      <c r="A857" s="695"/>
      <c r="B857" s="377"/>
      <c r="C857" s="377"/>
      <c r="D857" s="377"/>
      <c r="E857" s="377"/>
      <c r="F857" s="377"/>
      <c r="G857" s="377"/>
    </row>
    <row r="858" spans="1:7" ht="16.5">
      <c r="A858" s="695"/>
      <c r="B858" s="377"/>
      <c r="C858" s="377"/>
      <c r="D858" s="377"/>
      <c r="E858" s="377"/>
      <c r="F858" s="377"/>
      <c r="G858" s="377"/>
    </row>
    <row r="859" spans="1:7" ht="16.5">
      <c r="A859" s="695"/>
      <c r="B859" s="377"/>
      <c r="C859" s="377"/>
      <c r="D859" s="377"/>
      <c r="E859" s="377"/>
      <c r="F859" s="377"/>
      <c r="G859" s="377"/>
    </row>
    <row r="860" spans="1:7" ht="16.5">
      <c r="A860" s="695"/>
      <c r="B860" s="377"/>
      <c r="C860" s="377"/>
      <c r="D860" s="377"/>
      <c r="E860" s="377"/>
      <c r="F860" s="377"/>
      <c r="G860" s="377"/>
    </row>
    <row r="861" spans="1:7" ht="16.5">
      <c r="A861" s="695"/>
      <c r="B861" s="377"/>
      <c r="C861" s="377"/>
      <c r="D861" s="377"/>
      <c r="E861" s="377"/>
      <c r="F861" s="377"/>
      <c r="G861" s="377"/>
    </row>
    <row r="862" spans="1:7" ht="16.5">
      <c r="A862" s="695"/>
      <c r="B862" s="377"/>
      <c r="C862" s="377"/>
      <c r="D862" s="377"/>
      <c r="E862" s="377"/>
      <c r="F862" s="377"/>
      <c r="G862" s="377"/>
    </row>
    <row r="863" spans="1:7" ht="16.5">
      <c r="A863" s="695"/>
      <c r="B863" s="377"/>
      <c r="C863" s="377"/>
      <c r="D863" s="377"/>
      <c r="E863" s="377"/>
      <c r="F863" s="377"/>
      <c r="G863" s="377"/>
    </row>
    <row r="864" spans="1:7" ht="16.5">
      <c r="A864" s="695"/>
      <c r="B864" s="377"/>
      <c r="C864" s="377"/>
      <c r="D864" s="377"/>
      <c r="E864" s="377"/>
      <c r="F864" s="377"/>
      <c r="G864" s="377"/>
    </row>
    <row r="865" spans="1:7" ht="16.5">
      <c r="A865" s="695"/>
      <c r="B865" s="377"/>
      <c r="C865" s="377"/>
      <c r="D865" s="377"/>
      <c r="E865" s="377"/>
      <c r="F865" s="377"/>
      <c r="G865" s="377"/>
    </row>
    <row r="866" spans="1:7" ht="16.5">
      <c r="A866" s="695"/>
      <c r="B866" s="377"/>
      <c r="C866" s="377"/>
      <c r="D866" s="377"/>
      <c r="E866" s="377"/>
      <c r="F866" s="377"/>
      <c r="G866" s="377"/>
    </row>
    <row r="867" spans="1:7" ht="16.5">
      <c r="A867" s="695"/>
      <c r="B867" s="377"/>
      <c r="C867" s="377"/>
      <c r="D867" s="377"/>
      <c r="E867" s="377"/>
      <c r="F867" s="377"/>
      <c r="G867" s="377"/>
    </row>
    <row r="868" spans="1:7" ht="16.5">
      <c r="A868" s="695"/>
      <c r="B868" s="377"/>
      <c r="C868" s="377"/>
      <c r="D868" s="377"/>
      <c r="E868" s="377"/>
      <c r="F868" s="377"/>
      <c r="G868" s="377"/>
    </row>
    <row r="869" spans="1:7" ht="16.5">
      <c r="A869" s="695"/>
      <c r="B869" s="377"/>
      <c r="C869" s="377"/>
      <c r="D869" s="377"/>
      <c r="E869" s="377"/>
      <c r="F869" s="377"/>
      <c r="G869" s="377"/>
    </row>
    <row r="870" spans="1:7" ht="16.5">
      <c r="A870" s="695"/>
      <c r="B870" s="377"/>
      <c r="C870" s="377"/>
      <c r="D870" s="377"/>
      <c r="E870" s="377"/>
      <c r="F870" s="377"/>
      <c r="G870" s="377"/>
    </row>
    <row r="871" spans="1:7" ht="16.5">
      <c r="A871" s="695"/>
      <c r="B871" s="377"/>
      <c r="C871" s="377"/>
      <c r="D871" s="377"/>
      <c r="E871" s="377"/>
      <c r="F871" s="377"/>
      <c r="G871" s="377"/>
    </row>
    <row r="872" spans="1:7" ht="16.5">
      <c r="A872" s="695"/>
      <c r="B872" s="377"/>
      <c r="C872" s="377"/>
      <c r="D872" s="377"/>
      <c r="E872" s="377"/>
      <c r="F872" s="377"/>
      <c r="G872" s="377"/>
    </row>
    <row r="873" spans="1:7" ht="16.5">
      <c r="A873" s="695"/>
      <c r="B873" s="377"/>
      <c r="C873" s="377"/>
      <c r="D873" s="377"/>
      <c r="E873" s="377"/>
      <c r="F873" s="377"/>
      <c r="G873" s="377"/>
    </row>
    <row r="874" spans="1:7" ht="16.5">
      <c r="A874" s="695"/>
      <c r="B874" s="377"/>
      <c r="C874" s="377"/>
      <c r="D874" s="377"/>
      <c r="E874" s="377"/>
      <c r="F874" s="377"/>
      <c r="G874" s="377"/>
    </row>
    <row r="875" spans="1:7" ht="16.5">
      <c r="A875" s="695"/>
      <c r="B875" s="377"/>
      <c r="C875" s="377"/>
      <c r="D875" s="377"/>
      <c r="E875" s="377"/>
      <c r="F875" s="377"/>
      <c r="G875" s="377"/>
    </row>
    <row r="876" spans="1:7" ht="16.5">
      <c r="A876" s="695"/>
      <c r="B876" s="377"/>
      <c r="C876" s="377"/>
      <c r="D876" s="377"/>
      <c r="E876" s="377"/>
      <c r="F876" s="377"/>
      <c r="G876" s="377"/>
    </row>
    <row r="877" spans="1:7" ht="16.5">
      <c r="A877" s="695"/>
      <c r="B877" s="377"/>
      <c r="C877" s="377"/>
      <c r="D877" s="377"/>
      <c r="E877" s="377"/>
      <c r="F877" s="377"/>
      <c r="G877" s="377"/>
    </row>
    <row r="878" spans="1:7" ht="16.5">
      <c r="A878" s="695"/>
      <c r="B878" s="377"/>
      <c r="C878" s="377"/>
      <c r="D878" s="377"/>
      <c r="E878" s="377"/>
      <c r="F878" s="377"/>
      <c r="G878" s="377"/>
    </row>
    <row r="879" spans="1:7" ht="16.5">
      <c r="A879" s="695"/>
      <c r="B879" s="377"/>
      <c r="C879" s="377"/>
      <c r="D879" s="377"/>
      <c r="E879" s="377"/>
      <c r="F879" s="377"/>
      <c r="G879" s="377"/>
    </row>
    <row r="880" spans="1:7" ht="16.5">
      <c r="A880" s="695"/>
      <c r="B880" s="377"/>
      <c r="C880" s="377"/>
      <c r="D880" s="377"/>
      <c r="E880" s="377"/>
      <c r="F880" s="377"/>
      <c r="G880" s="377"/>
    </row>
    <row r="881" spans="1:7" ht="16.5">
      <c r="A881" s="695"/>
      <c r="B881" s="377"/>
      <c r="C881" s="377"/>
      <c r="D881" s="377"/>
      <c r="E881" s="377"/>
      <c r="F881" s="377"/>
      <c r="G881" s="377"/>
    </row>
    <row r="882" spans="1:7" ht="16.5">
      <c r="A882" s="695"/>
      <c r="B882" s="377"/>
      <c r="C882" s="377"/>
      <c r="D882" s="377"/>
      <c r="E882" s="377"/>
      <c r="F882" s="377"/>
      <c r="G882" s="377"/>
    </row>
    <row r="883" spans="1:7" ht="16.5">
      <c r="A883" s="695"/>
      <c r="B883" s="377"/>
      <c r="C883" s="377"/>
      <c r="D883" s="377"/>
      <c r="E883" s="377"/>
      <c r="F883" s="377"/>
      <c r="G883" s="377"/>
    </row>
    <row r="884" spans="1:7" ht="16.5">
      <c r="A884" s="695"/>
      <c r="B884" s="377"/>
      <c r="C884" s="377"/>
      <c r="D884" s="377"/>
      <c r="E884" s="377"/>
      <c r="F884" s="377"/>
      <c r="G884" s="377"/>
    </row>
    <row r="885" spans="1:7" ht="16.5">
      <c r="A885" s="695"/>
      <c r="B885" s="377"/>
      <c r="C885" s="377"/>
      <c r="D885" s="377"/>
      <c r="E885" s="377"/>
      <c r="F885" s="377"/>
      <c r="G885" s="377"/>
    </row>
    <row r="886" spans="1:7" ht="16.5">
      <c r="A886" s="695"/>
      <c r="B886" s="377"/>
      <c r="C886" s="377"/>
      <c r="D886" s="377"/>
      <c r="E886" s="377"/>
      <c r="F886" s="377"/>
      <c r="G886" s="377"/>
    </row>
    <row r="887" spans="1:7" ht="16.5">
      <c r="A887" s="695"/>
      <c r="B887" s="377"/>
      <c r="C887" s="377"/>
      <c r="D887" s="377"/>
      <c r="E887" s="377"/>
      <c r="F887" s="377"/>
      <c r="G887" s="377"/>
    </row>
    <row r="888" spans="1:7" ht="16.5">
      <c r="A888" s="695"/>
      <c r="B888" s="377"/>
      <c r="C888" s="377"/>
      <c r="D888" s="377"/>
      <c r="E888" s="377"/>
      <c r="F888" s="377"/>
      <c r="G888" s="377"/>
    </row>
    <row r="889" spans="1:7" ht="16.5">
      <c r="A889" s="695"/>
      <c r="B889" s="377"/>
      <c r="C889" s="377"/>
      <c r="D889" s="377"/>
      <c r="E889" s="377"/>
      <c r="F889" s="377"/>
      <c r="G889" s="377"/>
    </row>
    <row r="890" spans="1:7" ht="16.5">
      <c r="A890" s="695"/>
      <c r="B890" s="377"/>
      <c r="C890" s="377"/>
      <c r="D890" s="377"/>
      <c r="E890" s="377"/>
      <c r="F890" s="377"/>
      <c r="G890" s="377"/>
    </row>
    <row r="891" spans="1:7" ht="16.5">
      <c r="A891" s="695"/>
      <c r="B891" s="377"/>
      <c r="C891" s="377"/>
      <c r="D891" s="377"/>
      <c r="E891" s="377"/>
      <c r="F891" s="377"/>
      <c r="G891" s="377"/>
    </row>
    <row r="892" spans="1:7" ht="16.5">
      <c r="A892" s="695"/>
      <c r="B892" s="377"/>
      <c r="C892" s="377"/>
      <c r="D892" s="377"/>
      <c r="E892" s="377"/>
      <c r="F892" s="377"/>
      <c r="G892" s="377"/>
    </row>
    <row r="893" spans="1:7" ht="16.5">
      <c r="A893" s="695"/>
      <c r="B893" s="377"/>
      <c r="C893" s="377"/>
      <c r="D893" s="377"/>
      <c r="E893" s="377"/>
      <c r="F893" s="377"/>
      <c r="G893" s="377"/>
    </row>
    <row r="894" spans="1:7" ht="16.5">
      <c r="A894" s="695"/>
      <c r="B894" s="377"/>
      <c r="C894" s="377"/>
      <c r="D894" s="377"/>
      <c r="E894" s="377"/>
      <c r="F894" s="377"/>
      <c r="G894" s="377"/>
    </row>
    <row r="895" spans="1:7" ht="16.5">
      <c r="A895" s="695"/>
      <c r="B895" s="377"/>
      <c r="C895" s="377"/>
      <c r="D895" s="377"/>
      <c r="E895" s="377"/>
      <c r="F895" s="377"/>
      <c r="G895" s="377"/>
    </row>
    <row r="896" spans="1:7" ht="16.5">
      <c r="A896" s="695"/>
      <c r="B896" s="377"/>
      <c r="C896" s="377"/>
      <c r="D896" s="377"/>
      <c r="E896" s="377"/>
      <c r="F896" s="377"/>
      <c r="G896" s="377"/>
    </row>
    <row r="897" spans="1:7" ht="16.5">
      <c r="A897" s="695"/>
      <c r="B897" s="377"/>
      <c r="C897" s="377"/>
      <c r="D897" s="377"/>
      <c r="E897" s="377"/>
      <c r="F897" s="377"/>
      <c r="G897" s="377"/>
    </row>
    <row r="898" spans="1:7" ht="16.5">
      <c r="A898" s="695"/>
      <c r="B898" s="377"/>
      <c r="C898" s="377"/>
      <c r="D898" s="377"/>
      <c r="E898" s="377"/>
      <c r="F898" s="377"/>
      <c r="G898" s="377"/>
    </row>
    <row r="899" spans="1:7" ht="16.5">
      <c r="A899" s="695"/>
      <c r="B899" s="377"/>
      <c r="C899" s="377"/>
      <c r="D899" s="377"/>
      <c r="E899" s="377"/>
      <c r="F899" s="377"/>
      <c r="G899" s="377"/>
    </row>
    <row r="900" spans="1:7" ht="16.5">
      <c r="A900" s="695"/>
      <c r="B900" s="377"/>
      <c r="C900" s="377"/>
      <c r="D900" s="377"/>
      <c r="E900" s="377"/>
      <c r="F900" s="377"/>
      <c r="G900" s="377"/>
    </row>
    <row r="901" spans="1:7" ht="16.5">
      <c r="A901" s="695"/>
      <c r="B901" s="377"/>
      <c r="C901" s="377"/>
      <c r="D901" s="377"/>
      <c r="E901" s="377"/>
      <c r="F901" s="377"/>
      <c r="G901" s="377"/>
    </row>
    <row r="902" spans="1:7" ht="16.5">
      <c r="A902" s="695"/>
      <c r="B902" s="377"/>
      <c r="C902" s="377"/>
      <c r="D902" s="377"/>
      <c r="E902" s="377"/>
      <c r="F902" s="377"/>
      <c r="G902" s="377"/>
    </row>
    <row r="903" spans="1:7" ht="16.5">
      <c r="A903" s="695"/>
      <c r="B903" s="377"/>
      <c r="C903" s="377"/>
      <c r="D903" s="377"/>
      <c r="E903" s="377"/>
      <c r="F903" s="377"/>
      <c r="G903" s="377"/>
    </row>
    <row r="904" spans="1:7" ht="16.5">
      <c r="A904" s="695"/>
      <c r="B904" s="377"/>
      <c r="C904" s="377"/>
      <c r="D904" s="377"/>
      <c r="E904" s="377"/>
      <c r="F904" s="377"/>
      <c r="G904" s="377"/>
    </row>
    <row r="905" spans="1:7" ht="16.5">
      <c r="A905" s="695"/>
      <c r="B905" s="377"/>
      <c r="C905" s="377"/>
      <c r="D905" s="377"/>
      <c r="E905" s="377"/>
      <c r="F905" s="377"/>
      <c r="G905" s="377"/>
    </row>
    <row r="906" spans="1:7" ht="16.5">
      <c r="A906" s="695"/>
      <c r="B906" s="377"/>
      <c r="C906" s="377"/>
      <c r="D906" s="377"/>
      <c r="E906" s="377"/>
      <c r="F906" s="377"/>
      <c r="G906" s="377"/>
    </row>
    <row r="907" spans="1:7" ht="16.5">
      <c r="A907" s="695"/>
      <c r="B907" s="377"/>
      <c r="C907" s="377"/>
      <c r="D907" s="377"/>
      <c r="E907" s="377"/>
      <c r="F907" s="377"/>
      <c r="G907" s="377"/>
    </row>
    <row r="908" spans="1:7" ht="16.5">
      <c r="A908" s="695"/>
      <c r="B908" s="377"/>
      <c r="C908" s="377"/>
      <c r="D908" s="377"/>
      <c r="E908" s="377"/>
      <c r="F908" s="377"/>
      <c r="G908" s="377"/>
    </row>
    <row r="909" spans="1:7" ht="16.5">
      <c r="A909" s="695"/>
      <c r="B909" s="377"/>
      <c r="C909" s="377"/>
      <c r="D909" s="377"/>
      <c r="E909" s="377"/>
      <c r="F909" s="377"/>
      <c r="G909" s="377"/>
    </row>
    <row r="910" spans="1:7" ht="16.5">
      <c r="A910" s="695"/>
      <c r="B910" s="377"/>
      <c r="C910" s="377"/>
      <c r="D910" s="377"/>
      <c r="E910" s="377"/>
      <c r="F910" s="377"/>
      <c r="G910" s="377"/>
    </row>
    <row r="911" spans="1:7" ht="16.5">
      <c r="A911" s="695"/>
      <c r="B911" s="377"/>
      <c r="C911" s="377"/>
      <c r="D911" s="377"/>
      <c r="E911" s="377"/>
      <c r="F911" s="377"/>
      <c r="G911" s="377"/>
    </row>
    <row r="912" spans="1:7" ht="16.5">
      <c r="A912" s="695"/>
      <c r="B912" s="377"/>
      <c r="C912" s="377"/>
      <c r="D912" s="377"/>
      <c r="E912" s="377"/>
      <c r="F912" s="377"/>
      <c r="G912" s="377"/>
    </row>
    <row r="913" spans="1:7" ht="16.5">
      <c r="A913" s="695"/>
      <c r="B913" s="377"/>
      <c r="C913" s="377"/>
      <c r="D913" s="377"/>
      <c r="E913" s="377"/>
      <c r="F913" s="377"/>
      <c r="G913" s="377"/>
    </row>
    <row r="914" spans="1:7" ht="16.5">
      <c r="A914" s="695"/>
      <c r="B914" s="377"/>
      <c r="C914" s="377"/>
      <c r="D914" s="377"/>
      <c r="E914" s="377"/>
      <c r="F914" s="377"/>
      <c r="G914" s="377"/>
    </row>
    <row r="915" spans="1:7" ht="16.5">
      <c r="A915" s="695"/>
      <c r="B915" s="377"/>
      <c r="C915" s="377"/>
      <c r="D915" s="377"/>
      <c r="E915" s="377"/>
      <c r="F915" s="377"/>
      <c r="G915" s="377"/>
    </row>
    <row r="916" spans="1:7" ht="16.5">
      <c r="A916" s="695"/>
      <c r="B916" s="377"/>
      <c r="C916" s="377"/>
      <c r="D916" s="377"/>
      <c r="E916" s="377"/>
      <c r="F916" s="377"/>
      <c r="G916" s="377"/>
    </row>
    <row r="917" spans="1:7" ht="16.5">
      <c r="A917" s="695"/>
      <c r="B917" s="377"/>
      <c r="C917" s="377"/>
      <c r="D917" s="377"/>
      <c r="E917" s="377"/>
      <c r="F917" s="377"/>
      <c r="G917" s="377"/>
    </row>
    <row r="918" spans="1:7" ht="16.5">
      <c r="A918" s="695"/>
      <c r="B918" s="377"/>
      <c r="C918" s="377"/>
      <c r="D918" s="377"/>
      <c r="E918" s="377"/>
      <c r="F918" s="377"/>
      <c r="G918" s="377"/>
    </row>
    <row r="919" spans="1:7" ht="16.5">
      <c r="A919" s="695"/>
      <c r="B919" s="377"/>
      <c r="C919" s="377"/>
      <c r="D919" s="377"/>
      <c r="E919" s="377"/>
      <c r="F919" s="377"/>
      <c r="G919" s="377"/>
    </row>
    <row r="920" spans="1:7" ht="16.5">
      <c r="A920" s="695"/>
      <c r="B920" s="377"/>
      <c r="C920" s="377"/>
      <c r="D920" s="377"/>
      <c r="E920" s="377"/>
      <c r="F920" s="377"/>
      <c r="G920" s="377"/>
    </row>
    <row r="921" spans="1:7" ht="16.5">
      <c r="A921" s="695"/>
      <c r="B921" s="377"/>
      <c r="C921" s="377"/>
      <c r="D921" s="377"/>
      <c r="E921" s="377"/>
      <c r="F921" s="377"/>
      <c r="G921" s="377"/>
    </row>
    <row r="922" spans="1:7" ht="16.5">
      <c r="A922" s="695"/>
      <c r="B922" s="377"/>
      <c r="C922" s="377"/>
      <c r="D922" s="377"/>
      <c r="E922" s="377"/>
      <c r="F922" s="377"/>
      <c r="G922" s="377"/>
    </row>
    <row r="923" spans="1:7" ht="16.5">
      <c r="A923" s="695"/>
      <c r="B923" s="377"/>
      <c r="C923" s="377"/>
      <c r="D923" s="377"/>
      <c r="E923" s="377"/>
      <c r="F923" s="377"/>
      <c r="G923" s="377"/>
    </row>
    <row r="924" spans="1:7" ht="16.5">
      <c r="A924" s="695"/>
      <c r="B924" s="377"/>
      <c r="C924" s="377"/>
      <c r="D924" s="377"/>
      <c r="E924" s="377"/>
      <c r="F924" s="377"/>
      <c r="G924" s="377"/>
    </row>
    <row r="925" spans="1:7" ht="16.5">
      <c r="A925" s="695"/>
      <c r="B925" s="377"/>
      <c r="C925" s="377"/>
      <c r="D925" s="377"/>
      <c r="E925" s="377"/>
      <c r="F925" s="377"/>
      <c r="G925" s="377"/>
    </row>
    <row r="926" spans="1:7" ht="16.5">
      <c r="A926" s="695"/>
      <c r="B926" s="377"/>
      <c r="C926" s="377"/>
      <c r="D926" s="377"/>
      <c r="E926" s="377"/>
      <c r="F926" s="377"/>
      <c r="G926" s="377"/>
    </row>
    <row r="927" spans="1:7" ht="16.5">
      <c r="A927" s="695"/>
      <c r="B927" s="377"/>
      <c r="C927" s="377"/>
      <c r="D927" s="377"/>
      <c r="E927" s="377"/>
      <c r="F927" s="377"/>
      <c r="G927" s="377"/>
    </row>
    <row r="928" spans="1:7" ht="16.5">
      <c r="A928" s="695"/>
      <c r="B928" s="377"/>
      <c r="C928" s="377"/>
      <c r="D928" s="377"/>
      <c r="E928" s="377"/>
      <c r="F928" s="377"/>
      <c r="G928" s="377"/>
    </row>
    <row r="929" spans="1:7" ht="16.5">
      <c r="A929" s="695"/>
      <c r="B929" s="377"/>
      <c r="C929" s="377"/>
      <c r="D929" s="377"/>
      <c r="E929" s="377"/>
      <c r="F929" s="377"/>
      <c r="G929" s="377"/>
    </row>
    <row r="930" spans="1:7" ht="16.5">
      <c r="A930" s="695"/>
      <c r="B930" s="377"/>
      <c r="C930" s="377"/>
      <c r="D930" s="377"/>
      <c r="E930" s="377"/>
      <c r="F930" s="377"/>
      <c r="G930" s="377"/>
    </row>
    <row r="931" spans="1:7" ht="16.5">
      <c r="A931" s="695"/>
      <c r="B931" s="377"/>
      <c r="C931" s="377"/>
      <c r="D931" s="377"/>
      <c r="E931" s="377"/>
      <c r="F931" s="377"/>
      <c r="G931" s="377"/>
    </row>
    <row r="932" spans="1:7" ht="16.5">
      <c r="A932" s="695"/>
      <c r="B932" s="377"/>
      <c r="C932" s="377"/>
      <c r="D932" s="377"/>
      <c r="E932" s="377"/>
      <c r="F932" s="377"/>
      <c r="G932" s="377"/>
    </row>
    <row r="933" spans="1:7" ht="16.5">
      <c r="A933" s="695"/>
      <c r="B933" s="377"/>
      <c r="C933" s="377"/>
      <c r="D933" s="377"/>
      <c r="E933" s="377"/>
      <c r="F933" s="377"/>
      <c r="G933" s="377"/>
    </row>
    <row r="934" spans="1:7" ht="16.5">
      <c r="A934" s="695"/>
      <c r="B934" s="377"/>
      <c r="C934" s="377"/>
      <c r="D934" s="377"/>
      <c r="E934" s="377"/>
      <c r="F934" s="377"/>
      <c r="G934" s="377"/>
    </row>
    <row r="935" spans="1:7" ht="16.5">
      <c r="A935" s="695"/>
      <c r="B935" s="377"/>
      <c r="C935" s="377"/>
      <c r="D935" s="377"/>
      <c r="E935" s="377"/>
      <c r="F935" s="377"/>
      <c r="G935" s="377"/>
    </row>
    <row r="936" spans="1:7" ht="16.5">
      <c r="A936" s="695"/>
      <c r="B936" s="377"/>
      <c r="C936" s="377"/>
      <c r="D936" s="377"/>
      <c r="E936" s="377"/>
      <c r="F936" s="377"/>
      <c r="G936" s="377"/>
    </row>
    <row r="937" spans="1:7" ht="16.5">
      <c r="A937" s="695"/>
      <c r="B937" s="377"/>
      <c r="C937" s="377"/>
      <c r="D937" s="377"/>
      <c r="E937" s="377"/>
      <c r="F937" s="377"/>
      <c r="G937" s="377"/>
    </row>
    <row r="938" spans="1:7" ht="16.5">
      <c r="A938" s="695"/>
      <c r="B938" s="377"/>
      <c r="C938" s="377"/>
      <c r="D938" s="377"/>
      <c r="E938" s="377"/>
      <c r="F938" s="377"/>
      <c r="G938" s="377"/>
    </row>
    <row r="939" spans="1:7" ht="16.5">
      <c r="A939" s="695"/>
      <c r="B939" s="377"/>
      <c r="C939" s="377"/>
      <c r="D939" s="377"/>
      <c r="E939" s="377"/>
      <c r="F939" s="377"/>
      <c r="G939" s="377"/>
    </row>
    <row r="940" spans="1:7" ht="16.5">
      <c r="A940" s="695"/>
      <c r="B940" s="377"/>
      <c r="C940" s="377"/>
      <c r="D940" s="377"/>
      <c r="E940" s="377"/>
      <c r="F940" s="377"/>
      <c r="G940" s="377"/>
    </row>
    <row r="941" spans="1:7" ht="16.5">
      <c r="A941" s="695"/>
      <c r="B941" s="377"/>
      <c r="C941" s="377"/>
      <c r="D941" s="377"/>
      <c r="E941" s="377"/>
      <c r="F941" s="377"/>
      <c r="G941" s="377"/>
    </row>
    <row r="942" spans="1:7" ht="16.5">
      <c r="A942" s="695"/>
      <c r="B942" s="377"/>
      <c r="C942" s="377"/>
      <c r="D942" s="377"/>
      <c r="E942" s="377"/>
      <c r="F942" s="377"/>
      <c r="G942" s="377"/>
    </row>
    <row r="943" spans="1:7" ht="16.5">
      <c r="A943" s="695"/>
      <c r="B943" s="377"/>
      <c r="C943" s="377"/>
      <c r="D943" s="377"/>
      <c r="E943" s="377"/>
      <c r="F943" s="377"/>
      <c r="G943" s="377"/>
    </row>
    <row r="944" spans="1:7" ht="16.5">
      <c r="A944" s="695"/>
      <c r="B944" s="377"/>
      <c r="C944" s="377"/>
      <c r="D944" s="377"/>
      <c r="E944" s="377"/>
      <c r="F944" s="377"/>
      <c r="G944" s="377"/>
    </row>
    <row r="945" spans="1:7" ht="16.5">
      <c r="A945" s="695"/>
      <c r="B945" s="377"/>
      <c r="C945" s="377"/>
      <c r="D945" s="377"/>
      <c r="E945" s="377"/>
      <c r="F945" s="377"/>
      <c r="G945" s="377"/>
    </row>
    <row r="946" spans="1:7" ht="16.5">
      <c r="A946" s="695"/>
      <c r="B946" s="377"/>
      <c r="C946" s="377"/>
      <c r="D946" s="377"/>
      <c r="E946" s="377"/>
      <c r="F946" s="377"/>
      <c r="G946" s="377"/>
    </row>
    <row r="947" spans="1:7" ht="16.5">
      <c r="A947" s="695"/>
      <c r="B947" s="377"/>
      <c r="C947" s="377"/>
      <c r="D947" s="377"/>
      <c r="E947" s="377"/>
      <c r="F947" s="377"/>
      <c r="G947" s="377"/>
    </row>
    <row r="948" spans="1:7" ht="16.5">
      <c r="A948" s="695"/>
      <c r="B948" s="377"/>
      <c r="C948" s="377"/>
      <c r="D948" s="377"/>
      <c r="E948" s="377"/>
      <c r="F948" s="377"/>
      <c r="G948" s="377"/>
    </row>
    <row r="949" spans="1:7" ht="16.5">
      <c r="A949" s="695"/>
      <c r="B949" s="377"/>
      <c r="C949" s="377"/>
      <c r="D949" s="377"/>
      <c r="E949" s="377"/>
      <c r="F949" s="377"/>
      <c r="G949" s="377"/>
    </row>
    <row r="950" spans="1:7" ht="16.5">
      <c r="A950" s="695"/>
      <c r="B950" s="377"/>
      <c r="C950" s="377"/>
      <c r="D950" s="377"/>
      <c r="E950" s="377"/>
      <c r="F950" s="377"/>
      <c r="G950" s="377"/>
    </row>
    <row r="951" spans="1:7" ht="16.5">
      <c r="A951" s="695"/>
      <c r="B951" s="377"/>
      <c r="C951" s="377"/>
      <c r="D951" s="377"/>
      <c r="E951" s="377"/>
      <c r="F951" s="377"/>
      <c r="G951" s="377"/>
    </row>
    <row r="952" spans="1:7" ht="16.5">
      <c r="A952" s="695"/>
      <c r="B952" s="377"/>
      <c r="C952" s="377"/>
      <c r="D952" s="377"/>
      <c r="E952" s="377"/>
      <c r="F952" s="377"/>
      <c r="G952" s="377"/>
    </row>
    <row r="953" spans="1:7" ht="16.5">
      <c r="A953" s="695"/>
      <c r="B953" s="377"/>
      <c r="C953" s="377"/>
      <c r="D953" s="377"/>
      <c r="E953" s="377"/>
      <c r="F953" s="377"/>
      <c r="G953" s="377"/>
    </row>
    <row r="954" spans="1:7" ht="16.5">
      <c r="A954" s="695"/>
      <c r="B954" s="377"/>
      <c r="C954" s="377"/>
      <c r="D954" s="377"/>
      <c r="E954" s="377"/>
      <c r="F954" s="377"/>
      <c r="G954" s="377"/>
    </row>
    <row r="955" spans="1:7" ht="16.5">
      <c r="A955" s="695"/>
      <c r="B955" s="377"/>
      <c r="C955" s="377"/>
      <c r="D955" s="377"/>
      <c r="E955" s="377"/>
      <c r="F955" s="377"/>
      <c r="G955" s="377"/>
    </row>
    <row r="956" spans="1:7" ht="16.5">
      <c r="A956" s="695"/>
      <c r="B956" s="377"/>
      <c r="C956" s="377"/>
      <c r="D956" s="377"/>
      <c r="E956" s="377"/>
      <c r="F956" s="377"/>
      <c r="G956" s="377"/>
    </row>
    <row r="957" spans="1:7" ht="16.5">
      <c r="A957" s="695"/>
      <c r="B957" s="377"/>
      <c r="C957" s="377"/>
      <c r="D957" s="377"/>
      <c r="E957" s="377"/>
      <c r="F957" s="377"/>
      <c r="G957" s="377"/>
    </row>
    <row r="958" spans="1:7" ht="16.5">
      <c r="A958" s="695"/>
      <c r="B958" s="377"/>
      <c r="C958" s="377"/>
      <c r="D958" s="377"/>
      <c r="E958" s="377"/>
      <c r="F958" s="377"/>
      <c r="G958" s="377"/>
    </row>
    <row r="959" spans="1:7" ht="16.5">
      <c r="A959" s="695"/>
      <c r="B959" s="377"/>
      <c r="C959" s="377"/>
      <c r="D959" s="377"/>
      <c r="E959" s="377"/>
      <c r="F959" s="377"/>
      <c r="G959" s="377"/>
    </row>
    <row r="960" spans="1:7" ht="16.5">
      <c r="A960" s="695"/>
      <c r="B960" s="377"/>
      <c r="C960" s="377"/>
      <c r="D960" s="377"/>
      <c r="E960" s="377"/>
      <c r="F960" s="377"/>
      <c r="G960" s="377"/>
    </row>
    <row r="961" spans="1:7" ht="16.5">
      <c r="A961" s="695"/>
      <c r="B961" s="377"/>
      <c r="C961" s="377"/>
      <c r="D961" s="377"/>
      <c r="E961" s="377"/>
      <c r="F961" s="377"/>
      <c r="G961" s="377"/>
    </row>
    <row r="962" spans="1:7" ht="16.5">
      <c r="A962" s="695"/>
      <c r="B962" s="377"/>
      <c r="C962" s="377"/>
      <c r="D962" s="377"/>
      <c r="E962" s="377"/>
      <c r="F962" s="377"/>
      <c r="G962" s="377"/>
    </row>
    <row r="963" spans="1:7" ht="16.5">
      <c r="A963" s="695"/>
      <c r="B963" s="377"/>
      <c r="C963" s="377"/>
      <c r="D963" s="377"/>
      <c r="E963" s="377"/>
      <c r="F963" s="377"/>
      <c r="G963" s="377"/>
    </row>
    <row r="964" spans="1:7" ht="16.5">
      <c r="A964" s="695"/>
      <c r="B964" s="377"/>
      <c r="C964" s="377"/>
      <c r="D964" s="377"/>
      <c r="E964" s="377"/>
      <c r="F964" s="377"/>
      <c r="G964" s="377"/>
    </row>
    <row r="965" spans="1:7" ht="16.5">
      <c r="A965" s="695"/>
      <c r="B965" s="377"/>
      <c r="C965" s="377"/>
      <c r="D965" s="377"/>
      <c r="E965" s="377"/>
      <c r="F965" s="377"/>
      <c r="G965" s="377"/>
    </row>
    <row r="966" spans="1:7" ht="16.5">
      <c r="A966" s="695"/>
      <c r="B966" s="377"/>
      <c r="C966" s="377"/>
      <c r="D966" s="377"/>
      <c r="E966" s="377"/>
      <c r="F966" s="377"/>
      <c r="G966" s="377"/>
    </row>
    <row r="967" spans="1:7" ht="16.5">
      <c r="A967" s="695"/>
      <c r="B967" s="377"/>
      <c r="C967" s="377"/>
      <c r="D967" s="377"/>
      <c r="E967" s="377"/>
      <c r="F967" s="377"/>
      <c r="G967" s="377"/>
    </row>
    <row r="968" spans="1:7" ht="16.5">
      <c r="A968" s="695"/>
      <c r="B968" s="377"/>
      <c r="C968" s="377"/>
      <c r="D968" s="377"/>
      <c r="E968" s="377"/>
      <c r="F968" s="377"/>
      <c r="G968" s="377"/>
    </row>
    <row r="969" spans="1:7" ht="16.5">
      <c r="A969" s="695"/>
      <c r="B969" s="377"/>
      <c r="C969" s="377"/>
      <c r="D969" s="377"/>
      <c r="E969" s="377"/>
      <c r="F969" s="377"/>
      <c r="G969" s="377"/>
    </row>
    <row r="970" spans="1:7" ht="16.5">
      <c r="A970" s="695"/>
      <c r="B970" s="377"/>
      <c r="C970" s="377"/>
      <c r="D970" s="377"/>
      <c r="E970" s="377"/>
      <c r="F970" s="377"/>
      <c r="G970" s="377"/>
    </row>
    <row r="971" spans="1:7" ht="16.5">
      <c r="A971" s="695"/>
      <c r="B971" s="377"/>
      <c r="C971" s="377"/>
      <c r="D971" s="377"/>
      <c r="E971" s="377"/>
      <c r="F971" s="377"/>
      <c r="G971" s="377"/>
    </row>
    <row r="972" spans="1:7" ht="16.5">
      <c r="A972" s="695"/>
      <c r="B972" s="377"/>
      <c r="C972" s="377"/>
      <c r="D972" s="377"/>
      <c r="E972" s="377"/>
      <c r="F972" s="377"/>
      <c r="G972" s="377"/>
    </row>
    <row r="973" spans="1:7" ht="16.5">
      <c r="A973" s="695"/>
      <c r="B973" s="377"/>
      <c r="C973" s="377"/>
      <c r="D973" s="377"/>
      <c r="E973" s="377"/>
      <c r="F973" s="377"/>
      <c r="G973" s="377"/>
    </row>
    <row r="974" spans="1:7" ht="16.5">
      <c r="A974" s="695"/>
      <c r="B974" s="377"/>
      <c r="C974" s="377"/>
      <c r="D974" s="377"/>
      <c r="E974" s="377"/>
      <c r="F974" s="377"/>
      <c r="G974" s="377"/>
    </row>
    <row r="975" spans="1:7" ht="16.5">
      <c r="A975" s="695"/>
      <c r="B975" s="377"/>
      <c r="C975" s="377"/>
      <c r="D975" s="377"/>
      <c r="E975" s="377"/>
      <c r="F975" s="377"/>
      <c r="G975" s="377"/>
    </row>
    <row r="976" spans="1:7" ht="16.5">
      <c r="A976" s="695"/>
      <c r="B976" s="377"/>
      <c r="C976" s="377"/>
      <c r="D976" s="377"/>
      <c r="E976" s="377"/>
      <c r="F976" s="377"/>
      <c r="G976" s="377"/>
    </row>
    <row r="977" spans="1:7" ht="16.5">
      <c r="A977" s="695"/>
      <c r="B977" s="377"/>
      <c r="C977" s="377"/>
      <c r="D977" s="377"/>
      <c r="E977" s="377"/>
      <c r="F977" s="377"/>
      <c r="G977" s="377"/>
    </row>
    <row r="978" spans="1:7" ht="16.5">
      <c r="A978" s="695"/>
      <c r="B978" s="377"/>
      <c r="C978" s="377"/>
      <c r="D978" s="377"/>
      <c r="E978" s="377"/>
      <c r="F978" s="377"/>
      <c r="G978" s="377"/>
    </row>
    <row r="979" spans="1:7" ht="16.5">
      <c r="A979" s="695"/>
      <c r="B979" s="377"/>
      <c r="C979" s="377"/>
      <c r="D979" s="377"/>
      <c r="E979" s="377"/>
      <c r="F979" s="377"/>
      <c r="G979" s="377"/>
    </row>
    <row r="980" spans="1:7" ht="16.5">
      <c r="A980" s="695"/>
      <c r="B980" s="377"/>
      <c r="C980" s="377"/>
      <c r="D980" s="377"/>
      <c r="E980" s="377"/>
      <c r="F980" s="377"/>
      <c r="G980" s="377"/>
    </row>
    <row r="981" spans="1:7" ht="16.5">
      <c r="A981" s="695"/>
      <c r="B981" s="377"/>
      <c r="C981" s="377"/>
      <c r="D981" s="377"/>
      <c r="E981" s="377"/>
      <c r="F981" s="377"/>
      <c r="G981" s="377"/>
    </row>
    <row r="982" spans="1:7" ht="16.5">
      <c r="A982" s="695"/>
      <c r="B982" s="377"/>
      <c r="C982" s="377"/>
      <c r="D982" s="377"/>
      <c r="E982" s="377"/>
      <c r="F982" s="377"/>
      <c r="G982" s="377"/>
    </row>
    <row r="983" spans="1:7" ht="16.5">
      <c r="A983" s="695"/>
      <c r="B983" s="377"/>
      <c r="C983" s="377"/>
      <c r="D983" s="377"/>
      <c r="E983" s="377"/>
      <c r="F983" s="377"/>
      <c r="G983" s="377"/>
    </row>
    <row r="984" spans="1:7" ht="16.5">
      <c r="A984" s="695"/>
      <c r="B984" s="377"/>
      <c r="C984" s="377"/>
      <c r="D984" s="377"/>
      <c r="E984" s="377"/>
      <c r="F984" s="377"/>
      <c r="G984" s="377"/>
    </row>
    <row r="985" spans="1:7" ht="16.5">
      <c r="A985" s="695"/>
      <c r="B985" s="377"/>
      <c r="C985" s="377"/>
      <c r="D985" s="377"/>
      <c r="E985" s="377"/>
      <c r="F985" s="377"/>
      <c r="G985" s="377"/>
    </row>
    <row r="986" spans="1:7" ht="16.5">
      <c r="A986" s="695"/>
      <c r="B986" s="377"/>
      <c r="C986" s="377"/>
      <c r="D986" s="377"/>
      <c r="E986" s="377"/>
      <c r="F986" s="377"/>
      <c r="G986" s="377"/>
    </row>
    <row r="987" spans="1:7" ht="16.5">
      <c r="A987" s="695"/>
      <c r="B987" s="377"/>
      <c r="C987" s="377"/>
      <c r="D987" s="377"/>
      <c r="E987" s="377"/>
      <c r="F987" s="377"/>
      <c r="G987" s="377"/>
    </row>
    <row r="988" spans="1:7" ht="16.5">
      <c r="A988" s="695"/>
      <c r="B988" s="377"/>
      <c r="C988" s="377"/>
      <c r="D988" s="377"/>
      <c r="E988" s="377"/>
      <c r="F988" s="377"/>
      <c r="G988" s="377"/>
    </row>
    <row r="989" spans="1:7" ht="16.5">
      <c r="A989" s="695"/>
      <c r="B989" s="377"/>
      <c r="C989" s="377"/>
      <c r="D989" s="377"/>
      <c r="E989" s="377"/>
      <c r="F989" s="377"/>
      <c r="G989" s="377"/>
    </row>
    <row r="990" spans="1:7" ht="16.5">
      <c r="A990" s="695"/>
      <c r="B990" s="377"/>
      <c r="C990" s="377"/>
      <c r="D990" s="377"/>
      <c r="E990" s="377"/>
      <c r="F990" s="377"/>
      <c r="G990" s="377"/>
    </row>
    <row r="991" spans="1:7" ht="16.5">
      <c r="A991" s="695"/>
      <c r="B991" s="377"/>
      <c r="C991" s="377"/>
      <c r="D991" s="377"/>
      <c r="E991" s="377"/>
      <c r="F991" s="377"/>
      <c r="G991" s="377"/>
    </row>
    <row r="992" spans="1:7" ht="16.5">
      <c r="A992" s="695"/>
      <c r="B992" s="377"/>
      <c r="C992" s="377"/>
      <c r="D992" s="377"/>
      <c r="E992" s="377"/>
      <c r="F992" s="377"/>
      <c r="G992" s="377"/>
    </row>
    <row r="993" spans="1:7" ht="16.5">
      <c r="A993" s="695"/>
      <c r="B993" s="377"/>
      <c r="C993" s="377"/>
      <c r="D993" s="377"/>
      <c r="E993" s="377"/>
      <c r="F993" s="377"/>
      <c r="G993" s="377"/>
    </row>
    <row r="994" spans="1:7" ht="16.5">
      <c r="A994" s="695"/>
      <c r="B994" s="377"/>
      <c r="C994" s="377"/>
      <c r="D994" s="377"/>
      <c r="E994" s="377"/>
      <c r="F994" s="377"/>
      <c r="G994" s="377"/>
    </row>
    <row r="995" spans="1:7" ht="16.5">
      <c r="A995" s="695"/>
      <c r="B995" s="377"/>
      <c r="C995" s="377"/>
      <c r="D995" s="377"/>
      <c r="E995" s="377"/>
      <c r="F995" s="377"/>
      <c r="G995" s="377"/>
    </row>
    <row r="996" spans="1:7" ht="16.5">
      <c r="A996" s="695"/>
      <c r="B996" s="377"/>
      <c r="C996" s="377"/>
      <c r="D996" s="377"/>
      <c r="E996" s="377"/>
      <c r="F996" s="377"/>
      <c r="G996" s="377"/>
    </row>
    <row r="997" spans="1:7" ht="16.5">
      <c r="A997" s="695"/>
      <c r="B997" s="377"/>
      <c r="C997" s="377"/>
      <c r="D997" s="377"/>
      <c r="E997" s="377"/>
      <c r="F997" s="377"/>
      <c r="G997" s="377"/>
    </row>
    <row r="998" spans="1:7" ht="16.5">
      <c r="A998" s="695"/>
      <c r="B998" s="377"/>
      <c r="C998" s="377"/>
      <c r="D998" s="377"/>
      <c r="E998" s="377"/>
      <c r="F998" s="377"/>
      <c r="G998" s="377"/>
    </row>
    <row r="999" spans="1:7" ht="16.5">
      <c r="A999" s="695"/>
      <c r="B999" s="377"/>
      <c r="C999" s="377"/>
      <c r="D999" s="377"/>
      <c r="E999" s="377"/>
      <c r="F999" s="377"/>
      <c r="G999" s="377"/>
    </row>
    <row r="1000" spans="1:7" ht="16.5">
      <c r="A1000" s="695"/>
      <c r="B1000" s="377"/>
      <c r="C1000" s="377"/>
      <c r="D1000" s="377"/>
      <c r="E1000" s="377"/>
      <c r="F1000" s="377"/>
      <c r="G1000" s="377"/>
    </row>
    <row r="1001" spans="1:7" ht="16.5">
      <c r="A1001" s="695"/>
      <c r="B1001" s="377"/>
      <c r="C1001" s="377"/>
      <c r="D1001" s="377"/>
      <c r="E1001" s="377"/>
      <c r="F1001" s="377"/>
      <c r="G1001" s="377"/>
    </row>
    <row r="1002" spans="1:7" ht="16.5">
      <c r="A1002" s="695"/>
      <c r="B1002" s="377"/>
      <c r="C1002" s="377"/>
      <c r="D1002" s="377"/>
      <c r="E1002" s="377"/>
      <c r="F1002" s="377"/>
      <c r="G1002" s="377"/>
    </row>
    <row r="1003" spans="1:7" ht="16.5">
      <c r="A1003" s="695"/>
      <c r="B1003" s="377"/>
      <c r="C1003" s="377"/>
      <c r="D1003" s="377"/>
      <c r="E1003" s="377"/>
      <c r="F1003" s="377"/>
      <c r="G1003" s="377"/>
    </row>
    <row r="1004" spans="1:7" ht="16.5">
      <c r="A1004" s="695"/>
      <c r="B1004" s="377"/>
      <c r="C1004" s="377"/>
      <c r="D1004" s="377"/>
      <c r="E1004" s="377"/>
      <c r="F1004" s="377"/>
      <c r="G1004" s="377"/>
    </row>
    <row r="1005" spans="1:7" ht="16.5">
      <c r="A1005" s="695"/>
      <c r="B1005" s="377"/>
      <c r="C1005" s="377"/>
      <c r="D1005" s="377"/>
      <c r="E1005" s="377"/>
      <c r="F1005" s="377"/>
      <c r="G1005" s="377"/>
    </row>
    <row r="1006" spans="1:7" ht="16.5">
      <c r="A1006" s="695"/>
      <c r="B1006" s="377"/>
      <c r="C1006" s="377"/>
      <c r="D1006" s="377"/>
      <c r="E1006" s="377"/>
      <c r="F1006" s="377"/>
      <c r="G1006" s="377"/>
    </row>
    <row r="1007" spans="1:7" ht="16.5">
      <c r="A1007" s="695"/>
      <c r="B1007" s="377"/>
      <c r="C1007" s="377"/>
      <c r="D1007" s="377"/>
      <c r="E1007" s="377"/>
      <c r="F1007" s="377"/>
      <c r="G1007" s="377"/>
    </row>
    <row r="1008" spans="1:7" ht="16.5">
      <c r="A1008" s="695"/>
      <c r="B1008" s="377"/>
      <c r="C1008" s="377"/>
      <c r="D1008" s="377"/>
      <c r="E1008" s="377"/>
      <c r="F1008" s="377"/>
      <c r="G1008" s="377"/>
    </row>
    <row r="1009" spans="1:7" ht="16.5">
      <c r="A1009" s="695"/>
      <c r="B1009" s="377"/>
      <c r="C1009" s="377"/>
      <c r="D1009" s="377"/>
      <c r="E1009" s="377"/>
      <c r="F1009" s="377"/>
      <c r="G1009" s="377"/>
    </row>
    <row r="1010" spans="1:7" ht="16.5">
      <c r="A1010" s="695"/>
      <c r="B1010" s="377"/>
      <c r="C1010" s="377"/>
      <c r="D1010" s="377"/>
      <c r="E1010" s="377"/>
      <c r="F1010" s="377"/>
      <c r="G1010" s="377"/>
    </row>
    <row r="1011" spans="1:7" ht="16.5">
      <c r="A1011" s="695"/>
      <c r="B1011" s="377"/>
      <c r="C1011" s="377"/>
      <c r="D1011" s="377"/>
      <c r="E1011" s="377"/>
      <c r="F1011" s="377"/>
      <c r="G1011" s="377"/>
    </row>
    <row r="1012" spans="1:7" ht="16.5">
      <c r="A1012" s="695"/>
      <c r="B1012" s="377"/>
      <c r="C1012" s="377"/>
      <c r="D1012" s="377"/>
      <c r="E1012" s="377"/>
      <c r="F1012" s="377"/>
      <c r="G1012" s="377"/>
    </row>
    <row r="1013" spans="1:7" ht="16.5">
      <c r="A1013" s="695"/>
      <c r="B1013" s="377"/>
      <c r="C1013" s="377"/>
      <c r="D1013" s="377"/>
      <c r="E1013" s="377"/>
      <c r="F1013" s="377"/>
      <c r="G1013" s="377"/>
    </row>
    <row r="1014" spans="1:7" ht="16.5">
      <c r="A1014" s="695"/>
      <c r="B1014" s="377"/>
      <c r="C1014" s="377"/>
      <c r="D1014" s="377"/>
      <c r="E1014" s="377"/>
      <c r="F1014" s="377"/>
      <c r="G1014" s="377"/>
    </row>
    <row r="1015" spans="1:7" ht="16.5">
      <c r="A1015" s="695"/>
      <c r="B1015" s="377"/>
      <c r="C1015" s="377"/>
      <c r="D1015" s="377"/>
      <c r="E1015" s="377"/>
      <c r="F1015" s="377"/>
      <c r="G1015" s="377"/>
    </row>
  </sheetData>
  <sheetProtection algorithmName="SHA-512" hashValue="82DalKx270Dl0bGFCad1SX9+IY/gHNv8Ww/DVczC/pkGKYS1lRTYlOJ2lcfsHZ7zzZu6P3D/40+rbrfq4TtoUA==" saltValue="PI2cl+p+g4hlZYVJnsRSFw==" spinCount="100000" sheet="1" objects="1" scenarios="1"/>
  <mergeCells count="14">
    <mergeCell ref="A88:G88"/>
    <mergeCell ref="A2:G2"/>
    <mergeCell ref="A3:G3"/>
    <mergeCell ref="A6:A8"/>
    <mergeCell ref="B6:B8"/>
    <mergeCell ref="C6:C8"/>
    <mergeCell ref="D6:F6"/>
    <mergeCell ref="G6:G8"/>
    <mergeCell ref="F7:F8"/>
    <mergeCell ref="A71:G71"/>
    <mergeCell ref="B86:D86"/>
    <mergeCell ref="F86:G86"/>
    <mergeCell ref="B87:D87"/>
    <mergeCell ref="F87:G87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E929D-C063-475B-B61E-9A4F61BC6A64}">
  <dimension ref="A1:K985"/>
  <sheetViews>
    <sheetView topLeftCell="A7" workbookViewId="0">
      <selection activeCell="A98" sqref="A98:G98"/>
    </sheetView>
  </sheetViews>
  <sheetFormatPr defaultColWidth="8.85546875" defaultRowHeight="15"/>
  <cols>
    <col min="1" max="1" width="50" style="314" customWidth="1"/>
    <col min="2" max="2" width="15" style="314" customWidth="1"/>
    <col min="3" max="7" width="16.7109375" style="314" customWidth="1"/>
    <col min="8" max="9" width="8.85546875" style="314"/>
    <col min="10" max="11" width="13" style="314" bestFit="1" customWidth="1"/>
    <col min="12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7" t="s">
        <v>705</v>
      </c>
      <c r="B5" s="315"/>
      <c r="C5" s="315"/>
      <c r="D5" s="315"/>
      <c r="E5" s="315"/>
      <c r="F5" s="315"/>
      <c r="G5" s="315"/>
    </row>
    <row r="6" spans="1:7" ht="18.600000000000001" customHeight="1" thickTop="1" thickBot="1">
      <c r="A6" s="1228" t="s">
        <v>16</v>
      </c>
      <c r="B6" s="1228" t="s">
        <v>706</v>
      </c>
      <c r="C6" s="1230" t="s">
        <v>707</v>
      </c>
      <c r="D6" s="1231" t="s">
        <v>574</v>
      </c>
      <c r="E6" s="1242"/>
      <c r="F6" s="1243"/>
      <c r="G6" s="1228" t="s">
        <v>708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835" t="s">
        <v>32</v>
      </c>
    </row>
    <row r="10" spans="1:7" ht="18.75" thickTop="1">
      <c r="A10" s="324" t="s">
        <v>33</v>
      </c>
      <c r="B10" s="326"/>
      <c r="C10" s="326"/>
      <c r="D10" s="326"/>
      <c r="E10" s="326"/>
      <c r="F10" s="326"/>
      <c r="G10" s="836"/>
    </row>
    <row r="11" spans="1:7" ht="18">
      <c r="A11" s="328" t="s">
        <v>34</v>
      </c>
      <c r="B11" s="748"/>
      <c r="C11" s="330"/>
      <c r="D11" s="330"/>
      <c r="E11" s="330"/>
      <c r="F11" s="330"/>
      <c r="G11" s="837"/>
    </row>
    <row r="12" spans="1:7" ht="18">
      <c r="A12" s="333" t="s">
        <v>35</v>
      </c>
      <c r="B12" s="335"/>
      <c r="C12" s="335"/>
      <c r="D12" s="335"/>
      <c r="E12" s="335"/>
      <c r="F12" s="335"/>
      <c r="G12" s="838"/>
    </row>
    <row r="13" spans="1:7" ht="18">
      <c r="A13" s="338" t="s">
        <v>36</v>
      </c>
      <c r="B13" s="425" t="s">
        <v>37</v>
      </c>
      <c r="C13" s="36">
        <v>8676145.6199999992</v>
      </c>
      <c r="D13" s="36">
        <v>4475772</v>
      </c>
      <c r="E13" s="36">
        <f t="shared" ref="E13:E14" si="0">F13-D13</f>
        <v>8398032</v>
      </c>
      <c r="F13" s="79">
        <v>12873804</v>
      </c>
      <c r="G13" s="79">
        <v>13718681</v>
      </c>
    </row>
    <row r="14" spans="1:7" ht="18">
      <c r="A14" s="338" t="s">
        <v>216</v>
      </c>
      <c r="B14" s="425" t="s">
        <v>39</v>
      </c>
      <c r="C14" s="36">
        <v>896124.55</v>
      </c>
      <c r="D14" s="36">
        <v>460317</v>
      </c>
      <c r="E14" s="36">
        <f t="shared" si="0"/>
        <v>475683</v>
      </c>
      <c r="F14" s="79">
        <v>936000</v>
      </c>
      <c r="G14" s="79">
        <v>990090</v>
      </c>
    </row>
    <row r="15" spans="1:7" ht="18">
      <c r="A15" s="333" t="s">
        <v>40</v>
      </c>
      <c r="B15" s="435"/>
      <c r="C15" s="36"/>
      <c r="D15" s="36"/>
      <c r="E15" s="36"/>
      <c r="F15" s="79"/>
      <c r="G15" s="79"/>
    </row>
    <row r="16" spans="1:7" ht="18">
      <c r="A16" s="338" t="s">
        <v>41</v>
      </c>
      <c r="B16" s="425" t="s">
        <v>42</v>
      </c>
      <c r="C16" s="36">
        <v>600545.52</v>
      </c>
      <c r="D16" s="36">
        <v>320818.21000000002</v>
      </c>
      <c r="E16" s="36">
        <f t="shared" ref="E16:E19" si="1">F16-D16</f>
        <v>471181.79</v>
      </c>
      <c r="F16" s="79">
        <v>792000</v>
      </c>
      <c r="G16" s="79">
        <v>792000</v>
      </c>
    </row>
    <row r="17" spans="1:7" ht="18">
      <c r="A17" s="338" t="s">
        <v>43</v>
      </c>
      <c r="B17" s="425" t="s">
        <v>44</v>
      </c>
      <c r="C17" s="36">
        <v>192000</v>
      </c>
      <c r="D17" s="36">
        <v>87500</v>
      </c>
      <c r="E17" s="36">
        <f t="shared" si="1"/>
        <v>104500</v>
      </c>
      <c r="F17" s="79">
        <v>192000</v>
      </c>
      <c r="G17" s="79">
        <v>216000</v>
      </c>
    </row>
    <row r="18" spans="1:7" ht="18">
      <c r="A18" s="338" t="s">
        <v>45</v>
      </c>
      <c r="B18" s="425" t="s">
        <v>46</v>
      </c>
      <c r="C18" s="36">
        <v>192000</v>
      </c>
      <c r="D18" s="36">
        <v>87500</v>
      </c>
      <c r="E18" s="36">
        <f t="shared" si="1"/>
        <v>104500</v>
      </c>
      <c r="F18" s="79">
        <v>192000</v>
      </c>
      <c r="G18" s="79">
        <v>216000</v>
      </c>
    </row>
    <row r="19" spans="1:7" ht="18">
      <c r="A19" s="338" t="s">
        <v>47</v>
      </c>
      <c r="B19" s="425" t="s">
        <v>48</v>
      </c>
      <c r="C19" s="36">
        <v>150000</v>
      </c>
      <c r="D19" s="38">
        <v>150000</v>
      </c>
      <c r="E19" s="36">
        <f t="shared" si="1"/>
        <v>48000</v>
      </c>
      <c r="F19" s="79">
        <v>198000</v>
      </c>
      <c r="G19" s="79">
        <v>231000</v>
      </c>
    </row>
    <row r="20" spans="1:7" ht="18">
      <c r="A20" s="338" t="s">
        <v>49</v>
      </c>
      <c r="B20" s="339" t="s">
        <v>50</v>
      </c>
      <c r="C20" s="38">
        <v>127000</v>
      </c>
      <c r="D20" s="38">
        <v>0</v>
      </c>
      <c r="E20" s="36">
        <v>165000</v>
      </c>
      <c r="F20" s="79">
        <v>165000</v>
      </c>
      <c r="G20" s="79">
        <v>165000</v>
      </c>
    </row>
    <row r="21" spans="1:7" ht="18">
      <c r="A21" s="338" t="s">
        <v>53</v>
      </c>
      <c r="B21" s="425" t="s">
        <v>54</v>
      </c>
      <c r="C21" s="36">
        <v>792383</v>
      </c>
      <c r="D21" s="38">
        <v>0</v>
      </c>
      <c r="E21" s="36">
        <f t="shared" ref="E21:E23" si="2">F21-D21</f>
        <v>1150817</v>
      </c>
      <c r="F21" s="79">
        <v>1150817</v>
      </c>
      <c r="G21" s="79">
        <v>1256787</v>
      </c>
    </row>
    <row r="22" spans="1:7" ht="18">
      <c r="A22" s="338" t="s">
        <v>55</v>
      </c>
      <c r="B22" s="425" t="s">
        <v>56</v>
      </c>
      <c r="C22" s="36">
        <v>125500</v>
      </c>
      <c r="D22" s="38">
        <v>0</v>
      </c>
      <c r="E22" s="36">
        <f t="shared" si="2"/>
        <v>165000</v>
      </c>
      <c r="F22" s="79">
        <v>165000</v>
      </c>
      <c r="G22" s="79">
        <v>165000</v>
      </c>
    </row>
    <row r="23" spans="1:7" ht="18">
      <c r="A23" s="338" t="s">
        <v>57</v>
      </c>
      <c r="B23" s="425" t="s">
        <v>58</v>
      </c>
      <c r="C23" s="36">
        <v>773939</v>
      </c>
      <c r="D23" s="36">
        <v>714262</v>
      </c>
      <c r="E23" s="36">
        <f t="shared" si="2"/>
        <v>436555</v>
      </c>
      <c r="F23" s="79">
        <v>1150817</v>
      </c>
      <c r="G23" s="79">
        <v>1203548</v>
      </c>
    </row>
    <row r="24" spans="1:7" ht="18">
      <c r="A24" s="338" t="s">
        <v>557</v>
      </c>
      <c r="B24" s="425" t="s">
        <v>58</v>
      </c>
      <c r="C24" s="36">
        <v>0</v>
      </c>
      <c r="D24" s="36"/>
      <c r="E24" s="36"/>
      <c r="F24" s="79"/>
      <c r="G24" s="79">
        <v>231000</v>
      </c>
    </row>
    <row r="25" spans="1:7" ht="18">
      <c r="A25" s="333" t="s">
        <v>59</v>
      </c>
      <c r="B25" s="435"/>
      <c r="C25" s="36"/>
      <c r="D25" s="36"/>
      <c r="E25" s="36"/>
      <c r="F25" s="79"/>
      <c r="G25" s="79"/>
    </row>
    <row r="26" spans="1:7" ht="18">
      <c r="A26" s="338" t="s">
        <v>60</v>
      </c>
      <c r="B26" s="425" t="s">
        <v>61</v>
      </c>
      <c r="C26" s="36">
        <v>1136991.8</v>
      </c>
      <c r="D26" s="36">
        <v>592345.09</v>
      </c>
      <c r="E26" s="36">
        <f t="shared" ref="E26:E29" si="3">F26-D26</f>
        <v>1064831.3900000001</v>
      </c>
      <c r="F26" s="79">
        <v>1657176.48</v>
      </c>
      <c r="G26" s="79">
        <v>1765052.52</v>
      </c>
    </row>
    <row r="27" spans="1:7" ht="18">
      <c r="A27" s="338" t="s">
        <v>62</v>
      </c>
      <c r="B27" s="425" t="s">
        <v>63</v>
      </c>
      <c r="C27" s="36">
        <v>30100</v>
      </c>
      <c r="D27" s="36">
        <v>29500</v>
      </c>
      <c r="E27" s="36">
        <f t="shared" si="3"/>
        <v>10100</v>
      </c>
      <c r="F27" s="79">
        <v>39600</v>
      </c>
      <c r="G27" s="79">
        <v>79200</v>
      </c>
    </row>
    <row r="28" spans="1:7" ht="18">
      <c r="A28" s="338" t="s">
        <v>64</v>
      </c>
      <c r="B28" s="425" t="s">
        <v>65</v>
      </c>
      <c r="C28" s="36">
        <v>178726.73</v>
      </c>
      <c r="D28" s="36">
        <v>131122.92000000001</v>
      </c>
      <c r="E28" s="36">
        <f t="shared" si="3"/>
        <v>172546.08</v>
      </c>
      <c r="F28" s="79">
        <v>303669</v>
      </c>
      <c r="G28" s="79">
        <v>360737.23</v>
      </c>
    </row>
    <row r="29" spans="1:7" ht="18">
      <c r="A29" s="341" t="s">
        <v>66</v>
      </c>
      <c r="B29" s="402" t="s">
        <v>67</v>
      </c>
      <c r="C29" s="41">
        <v>30100</v>
      </c>
      <c r="D29" s="41">
        <v>16100</v>
      </c>
      <c r="E29" s="41">
        <f t="shared" si="3"/>
        <v>23500</v>
      </c>
      <c r="F29" s="839">
        <v>39600</v>
      </c>
      <c r="G29" s="839">
        <v>39600</v>
      </c>
    </row>
    <row r="30" spans="1:7" ht="18">
      <c r="A30" s="333" t="s">
        <v>68</v>
      </c>
      <c r="B30" s="840"/>
      <c r="C30" s="78"/>
      <c r="D30" s="78"/>
      <c r="E30" s="78"/>
      <c r="F30" s="841"/>
      <c r="G30" s="842"/>
    </row>
    <row r="31" spans="1:7" ht="18.75" thickBot="1">
      <c r="A31" s="338" t="s">
        <v>558</v>
      </c>
      <c r="B31" s="398" t="s">
        <v>520</v>
      </c>
      <c r="C31" s="843">
        <v>0</v>
      </c>
      <c r="D31" s="843">
        <v>0</v>
      </c>
      <c r="E31" s="843"/>
      <c r="F31" s="844"/>
      <c r="G31" s="845">
        <v>590712.81999999995</v>
      </c>
    </row>
    <row r="32" spans="1:7" ht="19.5" thickTop="1" thickBot="1">
      <c r="A32" s="351" t="s">
        <v>71</v>
      </c>
      <c r="B32" s="352"/>
      <c r="C32" s="52">
        <f>SUM(C13:C29)</f>
        <v>13901556.220000001</v>
      </c>
      <c r="D32" s="52">
        <f>SUM(D13:D29)</f>
        <v>7065237.2199999997</v>
      </c>
      <c r="E32" s="52">
        <f>SUM(E13:E29)</f>
        <v>12790246.26</v>
      </c>
      <c r="F32" s="52">
        <f>SUM(F13:F29)</f>
        <v>19855483.48</v>
      </c>
      <c r="G32" s="846">
        <f>SUM(G13:G31)</f>
        <v>22020408.57</v>
      </c>
    </row>
    <row r="33" spans="1:7" ht="18.75" thickTop="1">
      <c r="A33" s="355" t="s">
        <v>72</v>
      </c>
      <c r="B33" s="847"/>
      <c r="C33" s="428"/>
      <c r="D33" s="428"/>
      <c r="E33" s="428"/>
      <c r="F33" s="848"/>
      <c r="G33" s="849"/>
    </row>
    <row r="34" spans="1:7" ht="18">
      <c r="A34" s="359" t="s">
        <v>709</v>
      </c>
      <c r="B34" s="435" t="s">
        <v>74</v>
      </c>
      <c r="C34" s="264">
        <v>0</v>
      </c>
      <c r="D34" s="264">
        <v>0</v>
      </c>
      <c r="E34" s="264">
        <v>0</v>
      </c>
      <c r="F34" s="264">
        <v>0</v>
      </c>
      <c r="G34" s="850">
        <v>300000</v>
      </c>
    </row>
    <row r="35" spans="1:7" ht="18">
      <c r="A35" s="359" t="s">
        <v>75</v>
      </c>
      <c r="B35" s="435" t="s">
        <v>76</v>
      </c>
      <c r="C35" s="851">
        <v>889993.44</v>
      </c>
      <c r="D35" s="179">
        <v>527189.5</v>
      </c>
      <c r="E35" s="852">
        <f t="shared" ref="E35:E44" si="4">F35-D35</f>
        <v>1872810.5</v>
      </c>
      <c r="F35" s="853">
        <v>2400000</v>
      </c>
      <c r="G35" s="853">
        <v>700000</v>
      </c>
    </row>
    <row r="36" spans="1:7" ht="18">
      <c r="A36" s="359" t="s">
        <v>77</v>
      </c>
      <c r="B36" s="360" t="s">
        <v>78</v>
      </c>
      <c r="C36" s="264">
        <v>251649</v>
      </c>
      <c r="D36" s="264">
        <v>0</v>
      </c>
      <c r="E36" s="852">
        <f t="shared" si="4"/>
        <v>860000</v>
      </c>
      <c r="F36" s="853">
        <v>860000</v>
      </c>
      <c r="G36" s="853">
        <v>1000000</v>
      </c>
    </row>
    <row r="37" spans="1:7" ht="18">
      <c r="A37" s="359" t="s">
        <v>81</v>
      </c>
      <c r="B37" s="435" t="s">
        <v>82</v>
      </c>
      <c r="C37" s="264">
        <v>173849.85</v>
      </c>
      <c r="D37" s="179">
        <v>0</v>
      </c>
      <c r="E37" s="852">
        <f t="shared" si="4"/>
        <v>620000</v>
      </c>
      <c r="F37" s="853">
        <v>620000</v>
      </c>
      <c r="G37" s="853">
        <v>900000</v>
      </c>
    </row>
    <row r="38" spans="1:7" ht="18">
      <c r="A38" s="364" t="s">
        <v>217</v>
      </c>
      <c r="B38" s="825" t="s">
        <v>84</v>
      </c>
      <c r="C38" s="264">
        <v>0</v>
      </c>
      <c r="D38" s="264">
        <v>30000</v>
      </c>
      <c r="E38" s="852">
        <f t="shared" si="4"/>
        <v>30000</v>
      </c>
      <c r="F38" s="854">
        <v>60000</v>
      </c>
      <c r="G38" s="854">
        <v>100000</v>
      </c>
    </row>
    <row r="39" spans="1:7" ht="18">
      <c r="A39" s="364" t="s">
        <v>367</v>
      </c>
      <c r="B39" s="825" t="s">
        <v>86</v>
      </c>
      <c r="C39" s="264">
        <v>60000</v>
      </c>
      <c r="D39" s="264">
        <v>24640</v>
      </c>
      <c r="E39" s="852">
        <f t="shared" si="4"/>
        <v>35360</v>
      </c>
      <c r="F39" s="854">
        <v>60000</v>
      </c>
      <c r="G39" s="854">
        <v>80000</v>
      </c>
    </row>
    <row r="40" spans="1:7" ht="18">
      <c r="A40" s="364" t="s">
        <v>91</v>
      </c>
      <c r="B40" s="825" t="s">
        <v>92</v>
      </c>
      <c r="C40" s="264">
        <v>2364000</v>
      </c>
      <c r="D40" s="264">
        <v>0</v>
      </c>
      <c r="E40" s="852">
        <f t="shared" si="4"/>
        <v>0</v>
      </c>
      <c r="F40" s="855">
        <v>0</v>
      </c>
      <c r="G40" s="856">
        <v>0</v>
      </c>
    </row>
    <row r="41" spans="1:7" ht="36">
      <c r="A41" s="763" t="s">
        <v>368</v>
      </c>
      <c r="B41" s="825" t="s">
        <v>336</v>
      </c>
      <c r="C41" s="264">
        <v>0</v>
      </c>
      <c r="D41" s="264">
        <v>0</v>
      </c>
      <c r="E41" s="852">
        <f t="shared" si="4"/>
        <v>1000000</v>
      </c>
      <c r="F41" s="531">
        <v>1000000</v>
      </c>
      <c r="G41" s="854">
        <v>0</v>
      </c>
    </row>
    <row r="42" spans="1:7" ht="18">
      <c r="A42" s="364" t="s">
        <v>108</v>
      </c>
      <c r="B42" s="825" t="s">
        <v>109</v>
      </c>
      <c r="C42" s="179"/>
      <c r="D42" s="179"/>
      <c r="E42" s="852">
        <f t="shared" si="4"/>
        <v>0</v>
      </c>
      <c r="F42" s="531"/>
      <c r="G42" s="854"/>
    </row>
    <row r="43" spans="1:7" ht="72">
      <c r="A43" s="857" t="s">
        <v>710</v>
      </c>
      <c r="B43" s="825"/>
      <c r="C43" s="264">
        <v>0</v>
      </c>
      <c r="D43" s="264">
        <v>0</v>
      </c>
      <c r="E43" s="264">
        <v>0</v>
      </c>
      <c r="F43" s="607">
        <v>0</v>
      </c>
      <c r="G43" s="531">
        <v>1200000</v>
      </c>
    </row>
    <row r="44" spans="1:7" ht="36">
      <c r="A44" s="539" t="s">
        <v>370</v>
      </c>
      <c r="B44" s="435"/>
      <c r="C44" s="264">
        <v>680560</v>
      </c>
      <c r="D44" s="179">
        <v>985000</v>
      </c>
      <c r="E44" s="852">
        <f t="shared" si="4"/>
        <v>15000</v>
      </c>
      <c r="F44" s="191">
        <v>1000000</v>
      </c>
      <c r="G44" s="182">
        <v>1400000</v>
      </c>
    </row>
    <row r="45" spans="1:7" ht="18">
      <c r="A45" s="539" t="s">
        <v>711</v>
      </c>
      <c r="B45" s="435"/>
      <c r="C45" s="264">
        <v>12500</v>
      </c>
      <c r="D45" s="264">
        <v>0</v>
      </c>
      <c r="E45" s="264">
        <v>0</v>
      </c>
      <c r="F45" s="607">
        <v>0</v>
      </c>
      <c r="G45" s="210">
        <v>70000</v>
      </c>
    </row>
    <row r="46" spans="1:7" ht="36">
      <c r="A46" s="539" t="s">
        <v>712</v>
      </c>
      <c r="B46" s="435"/>
      <c r="C46" s="264">
        <v>0</v>
      </c>
      <c r="D46" s="264">
        <v>0</v>
      </c>
      <c r="E46" s="264">
        <v>0</v>
      </c>
      <c r="F46" s="607">
        <v>0</v>
      </c>
      <c r="G46" s="210">
        <v>50000</v>
      </c>
    </row>
    <row r="47" spans="1:7" ht="18">
      <c r="A47" s="539" t="s">
        <v>713</v>
      </c>
      <c r="B47" s="435"/>
      <c r="C47" s="264">
        <v>0</v>
      </c>
      <c r="D47" s="264">
        <v>0</v>
      </c>
      <c r="E47" s="264">
        <v>0</v>
      </c>
      <c r="F47" s="607">
        <v>0</v>
      </c>
      <c r="G47" s="210">
        <v>350000</v>
      </c>
    </row>
    <row r="48" spans="1:7" ht="54">
      <c r="A48" s="539" t="s">
        <v>714</v>
      </c>
      <c r="B48" s="435"/>
      <c r="C48" s="264">
        <v>0</v>
      </c>
      <c r="D48" s="264">
        <v>0</v>
      </c>
      <c r="E48" s="264">
        <v>0</v>
      </c>
      <c r="F48" s="607">
        <v>0</v>
      </c>
      <c r="G48" s="210">
        <v>1000000</v>
      </c>
    </row>
    <row r="49" spans="1:11" ht="18.75" thickBot="1">
      <c r="A49" s="858" t="s">
        <v>369</v>
      </c>
      <c r="B49" s="825"/>
      <c r="C49" s="264">
        <v>0</v>
      </c>
      <c r="D49" s="264">
        <v>0</v>
      </c>
      <c r="E49" s="852">
        <f t="shared" ref="E49" si="5">F49-D49</f>
        <v>5000000</v>
      </c>
      <c r="F49" s="531">
        <v>5000000</v>
      </c>
      <c r="G49" s="210">
        <v>0</v>
      </c>
    </row>
    <row r="50" spans="1:11" ht="19.5" thickTop="1" thickBot="1">
      <c r="A50" s="351" t="s">
        <v>162</v>
      </c>
      <c r="B50" s="367"/>
      <c r="C50" s="52">
        <f>SUM(C35:C49)</f>
        <v>4432552.29</v>
      </c>
      <c r="D50" s="52">
        <f>SUM(D35:D49)</f>
        <v>1566829.5</v>
      </c>
      <c r="E50" s="52">
        <f>SUM(E35:E49)</f>
        <v>9433170.5</v>
      </c>
      <c r="F50" s="52">
        <f>SUM(F35:F49)</f>
        <v>11000000</v>
      </c>
      <c r="G50" s="100">
        <f>SUM(G34:G49)</f>
        <v>7150000</v>
      </c>
      <c r="J50" s="558">
        <f>F50*0.35</f>
        <v>3849999.9999999995</v>
      </c>
      <c r="K50" s="558">
        <f>F50-J50</f>
        <v>7150000</v>
      </c>
    </row>
    <row r="51" spans="1:11" ht="18.75" thickTop="1">
      <c r="A51" s="355" t="s">
        <v>371</v>
      </c>
      <c r="B51" s="847"/>
      <c r="C51" s="428"/>
      <c r="D51" s="428"/>
      <c r="E51" s="428"/>
      <c r="F51" s="547"/>
      <c r="G51" s="859"/>
    </row>
    <row r="52" spans="1:11" ht="54.75" thickBot="1">
      <c r="A52" s="783" t="s">
        <v>372</v>
      </c>
      <c r="B52" s="860" t="s">
        <v>206</v>
      </c>
      <c r="C52" s="264">
        <v>0</v>
      </c>
      <c r="D52" s="264">
        <v>0</v>
      </c>
      <c r="E52" s="852">
        <f t="shared" ref="E52" si="6">F52-D52</f>
        <v>1000000</v>
      </c>
      <c r="F52" s="74">
        <v>1000000</v>
      </c>
      <c r="G52" s="607">
        <v>0</v>
      </c>
    </row>
    <row r="53" spans="1:11" ht="19.5" thickTop="1" thickBot="1">
      <c r="A53" s="351" t="s">
        <v>162</v>
      </c>
      <c r="B53" s="367"/>
      <c r="C53" s="724">
        <f>C52</f>
        <v>0</v>
      </c>
      <c r="D53" s="724">
        <f t="shared" ref="D53:F53" si="7">D52</f>
        <v>0</v>
      </c>
      <c r="E53" s="724">
        <f t="shared" si="7"/>
        <v>1000000</v>
      </c>
      <c r="F53" s="724">
        <f t="shared" si="7"/>
        <v>1000000</v>
      </c>
      <c r="G53" s="52">
        <f>G52</f>
        <v>0</v>
      </c>
    </row>
    <row r="54" spans="1:11" ht="19.5" thickTop="1" thickBot="1">
      <c r="A54" s="351" t="s">
        <v>181</v>
      </c>
      <c r="B54" s="367"/>
      <c r="C54" s="76">
        <f>C32+C50+C53</f>
        <v>18334108.510000002</v>
      </c>
      <c r="D54" s="76">
        <f>D32+D50+D53</f>
        <v>8632066.7199999988</v>
      </c>
      <c r="E54" s="76">
        <f>E32+E50+E53</f>
        <v>23223416.759999998</v>
      </c>
      <c r="F54" s="76">
        <f>F32+F50+F53</f>
        <v>31855483.48</v>
      </c>
      <c r="G54" s="75">
        <f>G32+G50+G53</f>
        <v>29170408.57</v>
      </c>
    </row>
    <row r="55" spans="1:11" ht="18.75" thickTop="1">
      <c r="A55" s="317"/>
      <c r="B55" s="317"/>
      <c r="C55" s="317"/>
      <c r="D55" s="317"/>
      <c r="E55" s="317"/>
      <c r="F55" s="317"/>
      <c r="G55" s="861"/>
    </row>
    <row r="56" spans="1:11" ht="18">
      <c r="A56" s="317" t="s">
        <v>373</v>
      </c>
      <c r="B56" s="317" t="s">
        <v>374</v>
      </c>
      <c r="C56" s="317"/>
      <c r="D56" s="317"/>
      <c r="E56" s="317"/>
      <c r="F56" s="317" t="s">
        <v>185</v>
      </c>
      <c r="G56" s="317"/>
    </row>
    <row r="57" spans="1:11" ht="18">
      <c r="A57" s="317"/>
      <c r="B57" s="317"/>
      <c r="C57" s="317"/>
      <c r="D57" s="317"/>
      <c r="E57" s="317"/>
      <c r="F57" s="317"/>
      <c r="G57" s="317"/>
    </row>
    <row r="58" spans="1:11" ht="18">
      <c r="A58" s="317"/>
      <c r="B58" s="317"/>
      <c r="C58" s="317"/>
      <c r="D58" s="317"/>
      <c r="E58" s="317"/>
      <c r="F58" s="317"/>
      <c r="G58" s="317"/>
    </row>
    <row r="59" spans="1:11" ht="18">
      <c r="A59" s="317"/>
      <c r="B59" s="317"/>
      <c r="C59" s="317"/>
      <c r="D59" s="317"/>
      <c r="E59" s="317"/>
      <c r="F59" s="317"/>
      <c r="G59" s="317"/>
    </row>
    <row r="60" spans="1:11" ht="18">
      <c r="A60" s="309" t="s">
        <v>375</v>
      </c>
      <c r="B60" s="1239" t="s">
        <v>187</v>
      </c>
      <c r="C60" s="1236"/>
      <c r="D60" s="1236"/>
      <c r="E60" s="369"/>
      <c r="F60" s="1240" t="s">
        <v>188</v>
      </c>
      <c r="G60" s="1241"/>
    </row>
    <row r="61" spans="1:11" ht="18">
      <c r="A61" s="371" t="s">
        <v>376</v>
      </c>
      <c r="B61" s="1235" t="s">
        <v>190</v>
      </c>
      <c r="C61" s="1236"/>
      <c r="D61" s="1236"/>
      <c r="E61" s="372"/>
      <c r="F61" s="1237" t="s">
        <v>191</v>
      </c>
      <c r="G61" s="1241"/>
    </row>
    <row r="62" spans="1:11" ht="18">
      <c r="A62" s="317"/>
      <c r="B62" s="317"/>
      <c r="C62" s="317"/>
      <c r="D62" s="317"/>
      <c r="E62" s="317"/>
      <c r="F62" s="317"/>
      <c r="G62" s="317"/>
    </row>
    <row r="63" spans="1:11" ht="16.5">
      <c r="A63" s="1238" t="s">
        <v>194</v>
      </c>
      <c r="B63" s="1238"/>
      <c r="C63" s="1238"/>
      <c r="D63" s="1238"/>
      <c r="E63" s="1238"/>
      <c r="F63" s="1238"/>
      <c r="G63" s="1238"/>
    </row>
    <row r="64" spans="1:11" ht="16.5">
      <c r="A64" s="1238"/>
      <c r="B64" s="1238"/>
      <c r="C64" s="1238"/>
      <c r="D64" s="1238"/>
      <c r="E64" s="1238"/>
      <c r="F64" s="1238"/>
      <c r="G64" s="1238"/>
    </row>
    <row r="65" spans="1:7" ht="18">
      <c r="A65" s="317"/>
      <c r="B65" s="317"/>
      <c r="C65" s="317"/>
      <c r="D65" s="317"/>
      <c r="E65" s="317"/>
      <c r="F65" s="317"/>
      <c r="G65" s="31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17"/>
      <c r="B68" s="317"/>
      <c r="C68" s="317"/>
      <c r="D68" s="317"/>
      <c r="E68" s="317"/>
      <c r="F68" s="317"/>
      <c r="G68" s="317"/>
    </row>
    <row r="69" spans="1:7" ht="18">
      <c r="A69" s="317"/>
      <c r="B69" s="317"/>
      <c r="C69" s="317"/>
      <c r="D69" s="317"/>
      <c r="E69" s="317"/>
      <c r="F69" s="317"/>
      <c r="G69" s="317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8">
      <c r="A72" s="317"/>
      <c r="B72" s="317"/>
      <c r="C72" s="317"/>
      <c r="D72" s="317"/>
      <c r="E72" s="317"/>
      <c r="F72" s="317"/>
      <c r="G72" s="317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>
      <c r="A243" s="377"/>
      <c r="B243" s="377"/>
      <c r="C243" s="377"/>
      <c r="D243" s="377"/>
      <c r="E243" s="377"/>
      <c r="F243" s="377"/>
      <c r="G243" s="377"/>
    </row>
    <row r="244" spans="1:7">
      <c r="A244" s="377"/>
      <c r="B244" s="377"/>
      <c r="C244" s="377"/>
      <c r="D244" s="377"/>
      <c r="E244" s="377"/>
      <c r="F244" s="377"/>
      <c r="G244" s="377"/>
    </row>
    <row r="245" spans="1:7">
      <c r="A245" s="377"/>
      <c r="B245" s="377"/>
      <c r="C245" s="377"/>
      <c r="D245" s="377"/>
      <c r="E245" s="377"/>
      <c r="F245" s="377"/>
      <c r="G245" s="377"/>
    </row>
    <row r="246" spans="1:7">
      <c r="A246" s="377"/>
      <c r="B246" s="377"/>
      <c r="C246" s="377"/>
      <c r="D246" s="377"/>
      <c r="E246" s="377"/>
      <c r="F246" s="377"/>
      <c r="G246" s="377"/>
    </row>
    <row r="247" spans="1:7">
      <c r="A247" s="377"/>
      <c r="B247" s="377"/>
      <c r="C247" s="377"/>
      <c r="D247" s="377"/>
      <c r="E247" s="377"/>
      <c r="F247" s="377"/>
      <c r="G247" s="377"/>
    </row>
    <row r="248" spans="1:7">
      <c r="A248" s="377"/>
      <c r="B248" s="377"/>
      <c r="C248" s="377"/>
      <c r="D248" s="377"/>
      <c r="E248" s="377"/>
      <c r="F248" s="377"/>
      <c r="G248" s="377"/>
    </row>
    <row r="249" spans="1:7">
      <c r="A249" s="377"/>
      <c r="B249" s="377"/>
      <c r="C249" s="377"/>
      <c r="D249" s="377"/>
      <c r="E249" s="377"/>
      <c r="F249" s="377"/>
      <c r="G249" s="377"/>
    </row>
    <row r="250" spans="1:7">
      <c r="A250" s="377"/>
      <c r="B250" s="377"/>
      <c r="C250" s="377"/>
      <c r="D250" s="377"/>
      <c r="E250" s="377"/>
      <c r="F250" s="377"/>
      <c r="G250" s="377"/>
    </row>
    <row r="251" spans="1:7">
      <c r="A251" s="377"/>
      <c r="B251" s="377"/>
      <c r="C251" s="377"/>
      <c r="D251" s="377"/>
      <c r="E251" s="377"/>
      <c r="F251" s="377"/>
      <c r="G251" s="377"/>
    </row>
    <row r="252" spans="1:7">
      <c r="A252" s="377"/>
      <c r="B252" s="377"/>
      <c r="C252" s="377"/>
      <c r="D252" s="377"/>
      <c r="E252" s="377"/>
      <c r="F252" s="377"/>
      <c r="G252" s="37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</sheetData>
  <sheetProtection algorithmName="SHA-512" hashValue="Vmf8FdKG+cY5tiT3dSPr6sW2GwQT5C3E8jtE1mYI/2VWzX0Q5ZMc0VydVkXXmSv7t2+4TzbYTaEBgN4/PDc+lw==" saltValue="QnjkwobK4CMR8RhTuuQAWA==" spinCount="100000" sheet="1" objects="1" scenarios="1"/>
  <mergeCells count="14">
    <mergeCell ref="A64:G64"/>
    <mergeCell ref="A2:G2"/>
    <mergeCell ref="A3:G3"/>
    <mergeCell ref="A6:A8"/>
    <mergeCell ref="B6:B8"/>
    <mergeCell ref="C6:C8"/>
    <mergeCell ref="D6:F6"/>
    <mergeCell ref="G6:G8"/>
    <mergeCell ref="F7:F8"/>
    <mergeCell ref="B60:D60"/>
    <mergeCell ref="F60:G60"/>
    <mergeCell ref="B61:D61"/>
    <mergeCell ref="F61:G61"/>
    <mergeCell ref="A63:G63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0A62C-4624-4D7E-A5F0-60AF0DCF4533}">
  <dimension ref="A1:J267"/>
  <sheetViews>
    <sheetView topLeftCell="A19" workbookViewId="0">
      <selection activeCell="A98" sqref="A98:G98"/>
    </sheetView>
  </sheetViews>
  <sheetFormatPr defaultColWidth="8.85546875" defaultRowHeight="15"/>
  <cols>
    <col min="1" max="1" width="50" style="314" customWidth="1"/>
    <col min="2" max="2" width="15.140625" style="314" customWidth="1"/>
    <col min="3" max="7" width="16.5703125" style="314" customWidth="1"/>
    <col min="8" max="8" width="8.85546875" style="314"/>
    <col min="9" max="9" width="12.85546875" style="314" bestFit="1" customWidth="1"/>
    <col min="10" max="10" width="11.42578125" style="314" bestFit="1" customWidth="1"/>
    <col min="11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5" t="s">
        <v>568</v>
      </c>
      <c r="B5" s="315"/>
      <c r="C5" s="315"/>
      <c r="D5" s="315"/>
      <c r="E5" s="315"/>
      <c r="F5" s="315"/>
      <c r="G5" s="315"/>
    </row>
    <row r="6" spans="1:7" ht="16.899999999999999" customHeight="1" thickTop="1" thickBot="1">
      <c r="A6" s="1228" t="s">
        <v>16</v>
      </c>
      <c r="B6" s="1228" t="s">
        <v>17</v>
      </c>
      <c r="C6" s="1230" t="s">
        <v>561</v>
      </c>
      <c r="D6" s="1231" t="s">
        <v>569</v>
      </c>
      <c r="E6" s="1242"/>
      <c r="F6" s="1243"/>
      <c r="G6" s="1228" t="s">
        <v>556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6"/>
      <c r="C10" s="326"/>
      <c r="D10" s="326"/>
      <c r="E10" s="326"/>
      <c r="F10" s="326"/>
      <c r="G10" s="380"/>
    </row>
    <row r="11" spans="1:7" ht="18">
      <c r="A11" s="328" t="s">
        <v>34</v>
      </c>
      <c r="B11" s="748"/>
      <c r="C11" s="330"/>
      <c r="D11" s="330"/>
      <c r="E11" s="330"/>
      <c r="F11" s="330"/>
      <c r="G11" s="381"/>
    </row>
    <row r="12" spans="1:7" ht="18">
      <c r="A12" s="333" t="s">
        <v>35</v>
      </c>
      <c r="B12" s="335"/>
      <c r="C12" s="335"/>
      <c r="D12" s="335"/>
      <c r="E12" s="335"/>
      <c r="F12" s="335"/>
      <c r="G12" s="383"/>
    </row>
    <row r="13" spans="1:7" ht="18">
      <c r="A13" s="338" t="s">
        <v>36</v>
      </c>
      <c r="B13" s="425" t="s">
        <v>37</v>
      </c>
      <c r="C13" s="36">
        <v>4222046.99</v>
      </c>
      <c r="D13" s="36">
        <v>2396142</v>
      </c>
      <c r="E13" s="36">
        <f t="shared" ref="E13:E14" si="0">F13-D13</f>
        <v>8703138</v>
      </c>
      <c r="F13" s="37">
        <v>11099280</v>
      </c>
      <c r="G13" s="37">
        <v>11840441</v>
      </c>
    </row>
    <row r="14" spans="1:7" ht="18">
      <c r="A14" s="338" t="s">
        <v>38</v>
      </c>
      <c r="B14" s="425" t="s">
        <v>39</v>
      </c>
      <c r="C14" s="36">
        <v>856226.7</v>
      </c>
      <c r="D14" s="36">
        <v>234000</v>
      </c>
      <c r="E14" s="36">
        <f t="shared" si="0"/>
        <v>390000</v>
      </c>
      <c r="F14" s="37">
        <v>624000</v>
      </c>
      <c r="G14" s="37">
        <v>660060</v>
      </c>
    </row>
    <row r="15" spans="1:7" ht="18">
      <c r="A15" s="333" t="s">
        <v>40</v>
      </c>
      <c r="B15" s="435"/>
      <c r="C15" s="36"/>
      <c r="D15" s="36"/>
      <c r="E15" s="36"/>
      <c r="F15" s="37"/>
      <c r="G15" s="37"/>
    </row>
    <row r="16" spans="1:7" ht="18">
      <c r="A16" s="338" t="s">
        <v>41</v>
      </c>
      <c r="B16" s="425" t="s">
        <v>42</v>
      </c>
      <c r="C16" s="36">
        <v>367545.57</v>
      </c>
      <c r="D16" s="36">
        <v>176000</v>
      </c>
      <c r="E16" s="36">
        <f t="shared" ref="E16:E19" si="1">F16-D16</f>
        <v>472000</v>
      </c>
      <c r="F16" s="37">
        <v>648000</v>
      </c>
      <c r="G16" s="37">
        <v>648000</v>
      </c>
    </row>
    <row r="17" spans="1:7" ht="18">
      <c r="A17" s="338" t="s">
        <v>43</v>
      </c>
      <c r="B17" s="425" t="s">
        <v>44</v>
      </c>
      <c r="C17" s="36">
        <v>34000</v>
      </c>
      <c r="D17" s="36">
        <v>0</v>
      </c>
      <c r="E17" s="36">
        <f t="shared" si="1"/>
        <v>192000</v>
      </c>
      <c r="F17" s="37">
        <v>192000</v>
      </c>
      <c r="G17" s="37">
        <v>216000</v>
      </c>
    </row>
    <row r="18" spans="1:7" ht="18">
      <c r="A18" s="338" t="s">
        <v>45</v>
      </c>
      <c r="B18" s="425" t="s">
        <v>46</v>
      </c>
      <c r="C18" s="36">
        <v>32060.240000000002</v>
      </c>
      <c r="D18" s="36">
        <v>0</v>
      </c>
      <c r="E18" s="36">
        <f t="shared" si="1"/>
        <v>192000</v>
      </c>
      <c r="F18" s="37">
        <v>192000</v>
      </c>
      <c r="G18" s="37">
        <v>216000</v>
      </c>
    </row>
    <row r="19" spans="1:7" ht="18">
      <c r="A19" s="338" t="s">
        <v>47</v>
      </c>
      <c r="B19" s="425" t="s">
        <v>48</v>
      </c>
      <c r="C19" s="36">
        <v>108000</v>
      </c>
      <c r="D19" s="36">
        <v>72000</v>
      </c>
      <c r="E19" s="36">
        <f t="shared" si="1"/>
        <v>90000</v>
      </c>
      <c r="F19" s="37">
        <v>162000</v>
      </c>
      <c r="G19" s="37">
        <v>189000</v>
      </c>
    </row>
    <row r="20" spans="1:7" ht="18">
      <c r="A20" s="338" t="s">
        <v>49</v>
      </c>
      <c r="B20" s="339" t="s">
        <v>50</v>
      </c>
      <c r="C20" s="36">
        <v>91000</v>
      </c>
      <c r="D20" s="36">
        <v>0</v>
      </c>
      <c r="E20" s="66">
        <v>150000</v>
      </c>
      <c r="F20" s="37">
        <v>135000</v>
      </c>
      <c r="G20" s="37">
        <v>135000</v>
      </c>
    </row>
    <row r="21" spans="1:7" ht="18">
      <c r="A21" s="338" t="s">
        <v>51</v>
      </c>
      <c r="B21" s="339" t="s">
        <v>52</v>
      </c>
      <c r="C21" s="36">
        <v>600000</v>
      </c>
      <c r="D21" s="67">
        <v>0</v>
      </c>
      <c r="E21" s="36">
        <f t="shared" ref="E21:E25" si="2">F21-D21</f>
        <v>600000</v>
      </c>
      <c r="F21" s="37">
        <v>600000</v>
      </c>
      <c r="G21" s="37">
        <v>800000</v>
      </c>
    </row>
    <row r="22" spans="1:7" ht="18">
      <c r="A22" s="338" t="s">
        <v>53</v>
      </c>
      <c r="B22" s="425" t="s">
        <v>54</v>
      </c>
      <c r="C22" s="36">
        <v>507272</v>
      </c>
      <c r="D22" s="36">
        <v>0</v>
      </c>
      <c r="E22" s="36">
        <f t="shared" si="2"/>
        <v>976940</v>
      </c>
      <c r="F22" s="68">
        <v>976940</v>
      </c>
      <c r="G22" s="68">
        <v>1067245</v>
      </c>
    </row>
    <row r="23" spans="1:7" ht="18">
      <c r="A23" s="338" t="s">
        <v>55</v>
      </c>
      <c r="B23" s="425" t="s">
        <v>56</v>
      </c>
      <c r="C23" s="36">
        <v>90000</v>
      </c>
      <c r="D23" s="36">
        <v>0</v>
      </c>
      <c r="E23" s="36">
        <f t="shared" si="2"/>
        <v>135000</v>
      </c>
      <c r="F23" s="37">
        <v>135000</v>
      </c>
      <c r="G23" s="37">
        <v>135000</v>
      </c>
    </row>
    <row r="24" spans="1:7" ht="18">
      <c r="A24" s="338" t="s">
        <v>57</v>
      </c>
      <c r="B24" s="425" t="s">
        <v>58</v>
      </c>
      <c r="C24" s="36">
        <v>219958</v>
      </c>
      <c r="D24" s="36">
        <v>438919</v>
      </c>
      <c r="E24" s="36">
        <f t="shared" si="2"/>
        <v>538021</v>
      </c>
      <c r="F24" s="69">
        <v>976940</v>
      </c>
      <c r="G24" s="70">
        <v>1023468</v>
      </c>
    </row>
    <row r="25" spans="1:7" ht="18">
      <c r="A25" s="338" t="s">
        <v>557</v>
      </c>
      <c r="B25" s="425" t="s">
        <v>58</v>
      </c>
      <c r="C25" s="36">
        <v>0</v>
      </c>
      <c r="D25" s="36">
        <v>0</v>
      </c>
      <c r="E25" s="36">
        <f t="shared" si="2"/>
        <v>0</v>
      </c>
      <c r="F25" s="68">
        <v>0</v>
      </c>
      <c r="G25" s="68">
        <v>189000</v>
      </c>
    </row>
    <row r="26" spans="1:7" ht="18">
      <c r="A26" s="333" t="s">
        <v>59</v>
      </c>
      <c r="B26" s="435"/>
      <c r="C26" s="36"/>
      <c r="D26" s="36"/>
      <c r="E26" s="36"/>
      <c r="F26" s="37"/>
      <c r="G26" s="37"/>
    </row>
    <row r="27" spans="1:7" ht="18">
      <c r="A27" s="338" t="s">
        <v>60</v>
      </c>
      <c r="B27" s="425" t="s">
        <v>61</v>
      </c>
      <c r="C27" s="36">
        <v>598275.81999999995</v>
      </c>
      <c r="D27" s="36">
        <v>315566.71999999997</v>
      </c>
      <c r="E27" s="36">
        <f t="shared" ref="E27:E32" si="3">F27-D27</f>
        <v>1091226.28</v>
      </c>
      <c r="F27" s="68">
        <v>1406793</v>
      </c>
      <c r="G27" s="68">
        <v>1500060.12</v>
      </c>
    </row>
    <row r="28" spans="1:7" ht="18">
      <c r="A28" s="338" t="s">
        <v>62</v>
      </c>
      <c r="B28" s="425" t="s">
        <v>63</v>
      </c>
      <c r="C28" s="36">
        <v>19960</v>
      </c>
      <c r="D28" s="36">
        <v>16300</v>
      </c>
      <c r="E28" s="36">
        <f t="shared" si="3"/>
        <v>16100</v>
      </c>
      <c r="F28" s="37">
        <v>32400</v>
      </c>
      <c r="G28" s="37">
        <v>64800</v>
      </c>
    </row>
    <row r="29" spans="1:7" ht="18">
      <c r="A29" s="338" t="s">
        <v>64</v>
      </c>
      <c r="B29" s="425" t="s">
        <v>65</v>
      </c>
      <c r="C29" s="36">
        <v>97700.64</v>
      </c>
      <c r="D29" s="36">
        <v>70170.55</v>
      </c>
      <c r="E29" s="36">
        <f t="shared" si="3"/>
        <v>186551.69</v>
      </c>
      <c r="F29" s="71">
        <v>256722.24</v>
      </c>
      <c r="G29" s="71">
        <v>305530.48</v>
      </c>
    </row>
    <row r="30" spans="1:7" ht="18">
      <c r="A30" s="341" t="s">
        <v>66</v>
      </c>
      <c r="B30" s="749" t="s">
        <v>67</v>
      </c>
      <c r="C30" s="36">
        <v>18500</v>
      </c>
      <c r="D30" s="72">
        <v>8950</v>
      </c>
      <c r="E30" s="36">
        <f t="shared" si="3"/>
        <v>23450</v>
      </c>
      <c r="F30" s="69">
        <v>32400</v>
      </c>
      <c r="G30" s="70">
        <v>32400</v>
      </c>
    </row>
    <row r="31" spans="1:7" ht="18">
      <c r="A31" s="333" t="s">
        <v>68</v>
      </c>
      <c r="B31" s="749"/>
      <c r="C31" s="36"/>
      <c r="D31" s="72"/>
      <c r="E31" s="36"/>
      <c r="F31" s="68"/>
      <c r="G31" s="68"/>
    </row>
    <row r="32" spans="1:7" ht="18.75" thickBot="1">
      <c r="A32" s="862" t="s">
        <v>558</v>
      </c>
      <c r="B32" s="745" t="s">
        <v>520</v>
      </c>
      <c r="C32" s="36">
        <v>0</v>
      </c>
      <c r="D32" s="73">
        <v>0</v>
      </c>
      <c r="E32" s="36">
        <f t="shared" si="3"/>
        <v>0</v>
      </c>
      <c r="F32" s="74">
        <v>0</v>
      </c>
      <c r="G32" s="74">
        <v>502027.41</v>
      </c>
    </row>
    <row r="33" spans="1:10" ht="19.5" thickTop="1" thickBot="1">
      <c r="A33" s="351" t="s">
        <v>71</v>
      </c>
      <c r="B33" s="352"/>
      <c r="C33" s="75">
        <f t="shared" ref="C33:F33" si="4">SUM(C13:C32)</f>
        <v>7862545.9600000009</v>
      </c>
      <c r="D33" s="75">
        <f t="shared" si="4"/>
        <v>3728048.2699999996</v>
      </c>
      <c r="E33" s="75">
        <f t="shared" si="4"/>
        <v>13756426.969999999</v>
      </c>
      <c r="F33" s="75">
        <f t="shared" si="4"/>
        <v>17469475.239999998</v>
      </c>
      <c r="G33" s="75">
        <f>SUM(G13:G32)</f>
        <v>19524032.010000002</v>
      </c>
      <c r="I33" s="558">
        <f>G33-F33</f>
        <v>2054556.7700000033</v>
      </c>
    </row>
    <row r="34" spans="1:10" ht="18.75" thickTop="1">
      <c r="A34" s="355" t="s">
        <v>72</v>
      </c>
      <c r="B34" s="356"/>
      <c r="C34" s="427"/>
      <c r="D34" s="427"/>
      <c r="E34" s="863"/>
      <c r="F34" s="428"/>
      <c r="G34" s="864"/>
    </row>
    <row r="35" spans="1:10" ht="18">
      <c r="A35" s="338" t="s">
        <v>377</v>
      </c>
      <c r="B35" s="356" t="s">
        <v>74</v>
      </c>
      <c r="C35" s="865">
        <v>0</v>
      </c>
      <c r="D35" s="866">
        <v>0</v>
      </c>
      <c r="E35" s="78">
        <f t="shared" ref="E35:E40" si="5">F35-D35</f>
        <v>200000</v>
      </c>
      <c r="F35" s="37">
        <v>200000</v>
      </c>
      <c r="G35" s="37">
        <v>100000</v>
      </c>
    </row>
    <row r="36" spans="1:10" ht="18">
      <c r="A36" s="359" t="s">
        <v>77</v>
      </c>
      <c r="B36" s="360" t="s">
        <v>78</v>
      </c>
      <c r="C36" s="865">
        <v>108689.4</v>
      </c>
      <c r="D36" s="866">
        <v>0</v>
      </c>
      <c r="E36" s="36">
        <f t="shared" si="5"/>
        <v>200000</v>
      </c>
      <c r="F36" s="37">
        <v>200000</v>
      </c>
      <c r="G36" s="37">
        <v>200000</v>
      </c>
    </row>
    <row r="37" spans="1:10" ht="18">
      <c r="A37" s="359" t="s">
        <v>570</v>
      </c>
      <c r="B37" s="360" t="s">
        <v>82</v>
      </c>
      <c r="C37" s="866">
        <v>0</v>
      </c>
      <c r="D37" s="866">
        <v>0</v>
      </c>
      <c r="E37" s="866">
        <v>0</v>
      </c>
      <c r="F37" s="867">
        <v>0</v>
      </c>
      <c r="G37" s="37">
        <v>50000</v>
      </c>
    </row>
    <row r="38" spans="1:10" ht="18">
      <c r="A38" s="359" t="s">
        <v>83</v>
      </c>
      <c r="B38" s="360" t="s">
        <v>84</v>
      </c>
      <c r="C38" s="866">
        <v>57954.45</v>
      </c>
      <c r="D38" s="56">
        <v>25000</v>
      </c>
      <c r="E38" s="36">
        <f t="shared" si="5"/>
        <v>35000</v>
      </c>
      <c r="F38" s="80">
        <v>60000</v>
      </c>
      <c r="G38" s="37">
        <v>60000</v>
      </c>
    </row>
    <row r="39" spans="1:10" ht="18">
      <c r="A39" s="359" t="s">
        <v>199</v>
      </c>
      <c r="B39" s="360" t="s">
        <v>200</v>
      </c>
      <c r="C39" s="865">
        <v>113145</v>
      </c>
      <c r="D39" s="866">
        <v>0</v>
      </c>
      <c r="E39" s="36">
        <f t="shared" si="5"/>
        <v>161040</v>
      </c>
      <c r="F39" s="37">
        <f>610*22*12</f>
        <v>161040</v>
      </c>
      <c r="G39" s="37">
        <f>645*22*12</f>
        <v>170280</v>
      </c>
    </row>
    <row r="40" spans="1:10" ht="18">
      <c r="A40" s="359" t="s">
        <v>276</v>
      </c>
      <c r="B40" s="360" t="s">
        <v>256</v>
      </c>
      <c r="C40" s="335">
        <v>0</v>
      </c>
      <c r="D40" s="866">
        <v>0</v>
      </c>
      <c r="E40" s="36">
        <f t="shared" si="5"/>
        <v>10000</v>
      </c>
      <c r="F40" s="37">
        <v>10000</v>
      </c>
      <c r="G40" s="37">
        <v>0</v>
      </c>
    </row>
    <row r="41" spans="1:10" ht="18">
      <c r="A41" s="359" t="s">
        <v>571</v>
      </c>
      <c r="B41" s="360" t="s">
        <v>101</v>
      </c>
      <c r="C41" s="335">
        <v>0</v>
      </c>
      <c r="D41" s="866">
        <v>0</v>
      </c>
      <c r="E41" s="335">
        <v>0</v>
      </c>
      <c r="F41" s="868">
        <v>0</v>
      </c>
      <c r="G41" s="37">
        <v>100000</v>
      </c>
    </row>
    <row r="42" spans="1:10" ht="18">
      <c r="A42" s="359" t="s">
        <v>108</v>
      </c>
      <c r="B42" s="435" t="s">
        <v>109</v>
      </c>
      <c r="C42" s="335"/>
      <c r="D42" s="335"/>
      <c r="E42" s="36"/>
      <c r="F42" s="37"/>
      <c r="G42" s="37"/>
    </row>
    <row r="43" spans="1:10" ht="18">
      <c r="A43" s="541" t="s">
        <v>378</v>
      </c>
      <c r="B43" s="435"/>
      <c r="C43" s="869">
        <v>0</v>
      </c>
      <c r="D43" s="869">
        <v>0</v>
      </c>
      <c r="E43" s="36">
        <f t="shared" ref="E43:E45" si="6">F43-D43</f>
        <v>300000</v>
      </c>
      <c r="F43" s="37">
        <v>300000</v>
      </c>
      <c r="G43" s="37">
        <v>200000</v>
      </c>
    </row>
    <row r="44" spans="1:10" ht="36">
      <c r="A44" s="539" t="s">
        <v>379</v>
      </c>
      <c r="B44" s="435"/>
      <c r="C44" s="865">
        <v>70500</v>
      </c>
      <c r="D44" s="865">
        <v>0</v>
      </c>
      <c r="E44" s="36">
        <f t="shared" si="6"/>
        <v>200000</v>
      </c>
      <c r="F44" s="37">
        <v>200000</v>
      </c>
      <c r="G44" s="37">
        <v>0</v>
      </c>
    </row>
    <row r="45" spans="1:10" ht="36.75" thickBot="1">
      <c r="A45" s="539" t="s">
        <v>380</v>
      </c>
      <c r="B45" s="435"/>
      <c r="C45" s="865">
        <v>74000</v>
      </c>
      <c r="D45" s="865">
        <v>0</v>
      </c>
      <c r="E45" s="36">
        <f t="shared" si="6"/>
        <v>100000</v>
      </c>
      <c r="F45" s="37">
        <v>100000</v>
      </c>
      <c r="G45" s="37">
        <v>100000</v>
      </c>
    </row>
    <row r="46" spans="1:10" ht="19.5" thickTop="1" thickBot="1">
      <c r="A46" s="351" t="s">
        <v>162</v>
      </c>
      <c r="B46" s="367"/>
      <c r="C46" s="75">
        <f>SUM(C35:C45)</f>
        <v>424288.85</v>
      </c>
      <c r="D46" s="75">
        <f>SUM(D35:D45)</f>
        <v>25000</v>
      </c>
      <c r="E46" s="75">
        <f>SUM(E35:E45)</f>
        <v>1206040</v>
      </c>
      <c r="F46" s="75">
        <f>SUM(F35:F45)</f>
        <v>1231040</v>
      </c>
      <c r="G46" s="75">
        <f>SUM(G35:G45)</f>
        <v>980280</v>
      </c>
      <c r="J46" s="558"/>
    </row>
    <row r="47" spans="1:10" ht="19.5" thickTop="1" thickBot="1">
      <c r="A47" s="351" t="s">
        <v>181</v>
      </c>
      <c r="B47" s="367"/>
      <c r="C47" s="75">
        <f>C33+C46</f>
        <v>8286834.8100000005</v>
      </c>
      <c r="D47" s="75">
        <f>D33+D46</f>
        <v>3753048.2699999996</v>
      </c>
      <c r="E47" s="75">
        <f>E33+E46</f>
        <v>14962466.969999999</v>
      </c>
      <c r="F47" s="75">
        <f>F33+F46</f>
        <v>18700515.239999998</v>
      </c>
      <c r="G47" s="75">
        <f>G33+G46</f>
        <v>20504312.010000002</v>
      </c>
      <c r="J47" s="558"/>
    </row>
    <row r="48" spans="1:10" ht="18.75" thickTop="1">
      <c r="A48" s="317"/>
      <c r="B48" s="317"/>
      <c r="C48" s="317"/>
      <c r="D48" s="317"/>
      <c r="E48" s="317"/>
      <c r="F48" s="317"/>
      <c r="G48" s="317"/>
      <c r="J48" s="558"/>
    </row>
    <row r="49" spans="1:7" ht="18">
      <c r="A49" s="317"/>
      <c r="B49" s="317"/>
      <c r="C49" s="317"/>
      <c r="D49" s="317"/>
      <c r="E49" s="317"/>
      <c r="F49" s="317"/>
      <c r="G49" s="317"/>
    </row>
    <row r="50" spans="1:7" ht="18">
      <c r="A50" s="317"/>
      <c r="B50" s="317"/>
      <c r="C50" s="317"/>
      <c r="D50" s="317"/>
      <c r="E50" s="317"/>
      <c r="F50" s="317"/>
      <c r="G50" s="317"/>
    </row>
    <row r="51" spans="1:7" ht="18">
      <c r="A51" s="317"/>
      <c r="B51" s="317"/>
      <c r="C51" s="317"/>
      <c r="D51" s="317"/>
      <c r="E51" s="317"/>
      <c r="F51" s="317"/>
      <c r="G51" s="317"/>
    </row>
    <row r="52" spans="1:7" ht="18">
      <c r="A52" s="317"/>
      <c r="B52" s="317"/>
      <c r="C52" s="317"/>
      <c r="D52" s="317"/>
      <c r="E52" s="317"/>
      <c r="F52" s="317"/>
      <c r="G52" s="317"/>
    </row>
    <row r="53" spans="1:7" ht="18">
      <c r="A53" s="317"/>
      <c r="B53" s="317"/>
      <c r="C53" s="317"/>
      <c r="D53" s="317"/>
      <c r="E53" s="317"/>
      <c r="F53" s="317"/>
      <c r="G53" s="317"/>
    </row>
    <row r="54" spans="1:7" ht="18">
      <c r="A54" s="317"/>
      <c r="B54" s="317"/>
      <c r="C54" s="317"/>
      <c r="D54" s="317"/>
      <c r="E54" s="317"/>
      <c r="F54" s="317"/>
      <c r="G54" s="317"/>
    </row>
    <row r="55" spans="1:7" ht="18">
      <c r="A55" s="317"/>
      <c r="B55" s="317"/>
      <c r="C55" s="317"/>
      <c r="D55" s="317"/>
      <c r="E55" s="317"/>
      <c r="F55" s="317"/>
      <c r="G55" s="317"/>
    </row>
    <row r="56" spans="1:7" ht="18">
      <c r="A56" s="317"/>
      <c r="B56" s="317"/>
      <c r="C56" s="317"/>
      <c r="D56" s="317"/>
      <c r="E56" s="317"/>
      <c r="F56" s="317"/>
      <c r="G56" s="317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/>
      <c r="B58" s="317"/>
      <c r="C58" s="317"/>
      <c r="D58" s="317"/>
      <c r="E58" s="317"/>
      <c r="F58" s="317"/>
      <c r="G58" s="317"/>
    </row>
    <row r="59" spans="1:7" ht="18">
      <c r="A59" s="317" t="s">
        <v>183</v>
      </c>
      <c r="B59" s="317" t="s">
        <v>184</v>
      </c>
      <c r="C59" s="317"/>
      <c r="D59" s="317"/>
      <c r="E59" s="317"/>
      <c r="F59" s="317" t="s">
        <v>185</v>
      </c>
      <c r="G59" s="317"/>
    </row>
    <row r="60" spans="1:7" ht="18">
      <c r="A60" s="317"/>
      <c r="B60" s="317"/>
      <c r="C60" s="317"/>
      <c r="D60" s="317"/>
      <c r="E60" s="317"/>
      <c r="F60" s="317"/>
      <c r="G60" s="317"/>
    </row>
    <row r="61" spans="1:7" ht="18">
      <c r="A61" s="317"/>
      <c r="B61" s="317"/>
      <c r="C61" s="317"/>
      <c r="D61" s="317"/>
      <c r="E61" s="317"/>
      <c r="F61" s="317"/>
      <c r="G61" s="317"/>
    </row>
    <row r="62" spans="1:7" ht="18">
      <c r="A62" s="317"/>
      <c r="B62" s="317"/>
      <c r="C62" s="317"/>
      <c r="D62" s="317"/>
      <c r="E62" s="317"/>
      <c r="F62" s="317"/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8">
      <c r="A64" s="317"/>
      <c r="B64" s="317"/>
      <c r="C64" s="317"/>
      <c r="D64" s="317"/>
      <c r="E64" s="317"/>
      <c r="F64" s="317"/>
      <c r="G64" s="317"/>
    </row>
    <row r="65" spans="1:7" ht="18">
      <c r="A65" s="317"/>
      <c r="B65" s="317"/>
      <c r="C65" s="317"/>
      <c r="D65" s="317"/>
      <c r="E65" s="317"/>
      <c r="F65" s="317"/>
      <c r="G65" s="317"/>
    </row>
    <row r="66" spans="1:7" ht="18">
      <c r="A66" s="368" t="s">
        <v>187</v>
      </c>
      <c r="B66" s="1239" t="s">
        <v>187</v>
      </c>
      <c r="C66" s="1236"/>
      <c r="D66" s="1236"/>
      <c r="E66" s="369"/>
      <c r="F66" s="1240" t="s">
        <v>188</v>
      </c>
      <c r="G66" s="1241"/>
    </row>
    <row r="67" spans="1:7" ht="18">
      <c r="A67" s="371" t="s">
        <v>190</v>
      </c>
      <c r="B67" s="1235" t="s">
        <v>190</v>
      </c>
      <c r="C67" s="1236"/>
      <c r="D67" s="1236"/>
      <c r="E67" s="372"/>
      <c r="F67" s="1237" t="s">
        <v>191</v>
      </c>
      <c r="G67" s="1241"/>
    </row>
    <row r="68" spans="1:7" ht="18">
      <c r="A68" s="317"/>
      <c r="B68" s="317"/>
      <c r="C68" s="317"/>
      <c r="D68" s="317"/>
      <c r="E68" s="317"/>
      <c r="F68" s="317"/>
      <c r="G68" s="317"/>
    </row>
    <row r="69" spans="1:7" ht="18">
      <c r="A69" s="317"/>
      <c r="B69" s="317"/>
      <c r="C69" s="317"/>
      <c r="D69" s="317"/>
      <c r="E69" s="317"/>
      <c r="F69" s="317"/>
      <c r="G69" s="317"/>
    </row>
    <row r="70" spans="1:7" ht="16.5">
      <c r="A70" s="1238" t="s">
        <v>194</v>
      </c>
      <c r="B70" s="1238"/>
      <c r="C70" s="1238"/>
      <c r="D70" s="1238"/>
      <c r="E70" s="1238"/>
      <c r="F70" s="1238"/>
      <c r="G70" s="1238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8">
      <c r="A72" s="317"/>
      <c r="B72" s="317"/>
      <c r="C72" s="317"/>
      <c r="D72" s="317"/>
      <c r="E72" s="317"/>
      <c r="F72" s="317"/>
      <c r="G72" s="317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 ht="18">
      <c r="A249" s="317"/>
      <c r="B249" s="317"/>
      <c r="C249" s="317"/>
      <c r="D249" s="317"/>
      <c r="E249" s="317"/>
      <c r="F249" s="317"/>
      <c r="G249" s="317"/>
    </row>
    <row r="250" spans="1:7" ht="18">
      <c r="A250" s="317"/>
      <c r="B250" s="317"/>
      <c r="C250" s="317"/>
      <c r="D250" s="317"/>
      <c r="E250" s="317"/>
      <c r="F250" s="317"/>
      <c r="G250" s="317"/>
    </row>
    <row r="251" spans="1:7" ht="18">
      <c r="A251" s="317"/>
      <c r="B251" s="317"/>
      <c r="C251" s="317"/>
      <c r="D251" s="317"/>
      <c r="E251" s="317"/>
      <c r="F251" s="317"/>
      <c r="G251" s="317"/>
    </row>
    <row r="252" spans="1:7" ht="18">
      <c r="A252" s="317"/>
      <c r="B252" s="317"/>
      <c r="C252" s="317"/>
      <c r="D252" s="317"/>
      <c r="E252" s="317"/>
      <c r="F252" s="317"/>
      <c r="G252" s="317"/>
    </row>
    <row r="253" spans="1:7" ht="18">
      <c r="A253" s="317"/>
      <c r="B253" s="317"/>
      <c r="C253" s="317"/>
      <c r="D253" s="317"/>
      <c r="E253" s="317"/>
      <c r="F253" s="317"/>
      <c r="G253" s="317"/>
    </row>
    <row r="254" spans="1:7" ht="18">
      <c r="A254" s="317"/>
      <c r="B254" s="317"/>
      <c r="C254" s="317"/>
      <c r="D254" s="317"/>
      <c r="E254" s="317"/>
      <c r="F254" s="317"/>
      <c r="G254" s="317"/>
    </row>
    <row r="255" spans="1:7" ht="18">
      <c r="A255" s="317"/>
      <c r="B255" s="317"/>
      <c r="C255" s="317"/>
      <c r="D255" s="317"/>
      <c r="E255" s="317"/>
      <c r="F255" s="317"/>
      <c r="G255" s="317"/>
    </row>
    <row r="256" spans="1:7" ht="18">
      <c r="A256" s="317"/>
      <c r="B256" s="317"/>
      <c r="C256" s="317"/>
      <c r="D256" s="317"/>
      <c r="E256" s="317"/>
      <c r="F256" s="317"/>
      <c r="G256" s="317"/>
    </row>
    <row r="257" spans="1:7" ht="18">
      <c r="A257" s="317"/>
      <c r="B257" s="317"/>
      <c r="C257" s="317"/>
      <c r="D257" s="317"/>
      <c r="E257" s="317"/>
      <c r="F257" s="317"/>
      <c r="G257" s="317"/>
    </row>
    <row r="258" spans="1:7" ht="18">
      <c r="A258" s="317"/>
      <c r="B258" s="317"/>
      <c r="C258" s="317"/>
      <c r="D258" s="317"/>
      <c r="E258" s="317"/>
      <c r="F258" s="317"/>
      <c r="G258" s="317"/>
    </row>
    <row r="259" spans="1:7" ht="18">
      <c r="A259" s="317"/>
      <c r="B259" s="317"/>
      <c r="C259" s="317"/>
      <c r="D259" s="317"/>
      <c r="E259" s="317"/>
      <c r="F259" s="317"/>
      <c r="G259" s="317"/>
    </row>
    <row r="260" spans="1:7" ht="18">
      <c r="A260" s="317"/>
      <c r="B260" s="317"/>
      <c r="C260" s="317"/>
      <c r="D260" s="317"/>
      <c r="E260" s="317"/>
      <c r="F260" s="317"/>
      <c r="G260" s="317"/>
    </row>
    <row r="261" spans="1:7" ht="18">
      <c r="A261" s="317"/>
      <c r="B261" s="317"/>
      <c r="C261" s="317"/>
      <c r="D261" s="317"/>
      <c r="E261" s="317"/>
      <c r="F261" s="317"/>
      <c r="G261" s="317"/>
    </row>
    <row r="262" spans="1:7" ht="18">
      <c r="A262" s="317"/>
      <c r="B262" s="317"/>
      <c r="C262" s="317"/>
      <c r="D262" s="317"/>
      <c r="E262" s="317"/>
      <c r="F262" s="317"/>
      <c r="G262" s="317"/>
    </row>
    <row r="263" spans="1:7" ht="18">
      <c r="A263" s="317"/>
      <c r="B263" s="317"/>
      <c r="C263" s="317"/>
      <c r="D263" s="317"/>
      <c r="E263" s="317"/>
      <c r="F263" s="317"/>
      <c r="G263" s="317"/>
    </row>
    <row r="264" spans="1:7" ht="18">
      <c r="A264" s="317"/>
      <c r="B264" s="317"/>
      <c r="C264" s="317"/>
      <c r="D264" s="317"/>
      <c r="E264" s="317"/>
      <c r="F264" s="317"/>
      <c r="G264" s="317"/>
    </row>
    <row r="265" spans="1:7" ht="18">
      <c r="A265" s="317"/>
      <c r="B265" s="317"/>
      <c r="C265" s="317"/>
      <c r="D265" s="317"/>
      <c r="E265" s="317"/>
      <c r="F265" s="317"/>
      <c r="G265" s="317"/>
    </row>
    <row r="266" spans="1:7" ht="18">
      <c r="A266" s="317"/>
      <c r="B266" s="317"/>
      <c r="C266" s="317"/>
      <c r="D266" s="317"/>
      <c r="E266" s="317"/>
      <c r="F266" s="317"/>
      <c r="G266" s="317"/>
    </row>
    <row r="267" spans="1:7" ht="18">
      <c r="A267" s="317"/>
      <c r="B267" s="317"/>
      <c r="C267" s="317"/>
      <c r="D267" s="317"/>
      <c r="E267" s="317"/>
      <c r="F267" s="317"/>
      <c r="G267" s="317"/>
    </row>
  </sheetData>
  <sheetProtection algorithmName="SHA-512" hashValue="Su0dqqog4UGfi6gBGBNks9ZH5z/QrRU4z1puOm9M8I+RJzHqlfQ2EikrbNNDu+ZpnXfTbXrk3HmqR79+ihH/9g==" saltValue="Vf3UqUfXr6wyT/oI8w/rqg==" spinCount="100000" sheet="1" objects="1" scenarios="1"/>
  <mergeCells count="13">
    <mergeCell ref="B66:D66"/>
    <mergeCell ref="F66:G66"/>
    <mergeCell ref="B67:D67"/>
    <mergeCell ref="F67:G67"/>
    <mergeCell ref="A70:G70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57494-650D-4ACC-A5BE-9A80C5376C34}">
  <dimension ref="A1:L996"/>
  <sheetViews>
    <sheetView topLeftCell="A68" zoomScale="85" zoomScaleNormal="85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11" width="8.85546875" style="314"/>
    <col min="12" max="12" width="11.85546875" style="314" bestFit="1" customWidth="1"/>
    <col min="13" max="16384" width="8.85546875" style="314"/>
  </cols>
  <sheetData>
    <row r="1" spans="1:7" ht="18">
      <c r="A1" s="523" t="s">
        <v>13</v>
      </c>
      <c r="B1" s="315"/>
      <c r="C1" s="316"/>
      <c r="D1" s="316"/>
      <c r="E1" s="316"/>
      <c r="F1" s="315"/>
      <c r="G1" s="315"/>
    </row>
    <row r="2" spans="1:7" ht="21">
      <c r="A2" s="1259" t="s">
        <v>0</v>
      </c>
      <c r="B2" s="1241"/>
      <c r="C2" s="1241"/>
      <c r="D2" s="1241"/>
      <c r="E2" s="1241"/>
      <c r="F2" s="1241"/>
      <c r="G2" s="1241"/>
    </row>
    <row r="3" spans="1:7" ht="18">
      <c r="A3" s="1260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5" t="s">
        <v>381</v>
      </c>
      <c r="B5" s="315"/>
      <c r="C5" s="315"/>
      <c r="D5" s="396"/>
      <c r="E5" s="315"/>
      <c r="F5" s="315"/>
      <c r="G5" s="315"/>
    </row>
    <row r="6" spans="1:7" ht="16.5" thickTop="1" thickBot="1">
      <c r="A6" s="1261" t="s">
        <v>16</v>
      </c>
      <c r="B6" s="1261" t="s">
        <v>17</v>
      </c>
      <c r="C6" s="1262" t="s">
        <v>715</v>
      </c>
      <c r="D6" s="1263" t="s">
        <v>574</v>
      </c>
      <c r="E6" s="1242"/>
      <c r="F6" s="1243"/>
      <c r="G6" s="1228" t="s">
        <v>556</v>
      </c>
    </row>
    <row r="7" spans="1:7" ht="35.25" thickTop="1">
      <c r="A7" s="1234"/>
      <c r="B7" s="1234"/>
      <c r="C7" s="1234"/>
      <c r="D7" s="525" t="s">
        <v>21</v>
      </c>
      <c r="E7" s="525" t="s">
        <v>22</v>
      </c>
      <c r="F7" s="1261" t="s">
        <v>23</v>
      </c>
      <c r="G7" s="1234"/>
    </row>
    <row r="8" spans="1:7" ht="18">
      <c r="A8" s="1234"/>
      <c r="B8" s="1234"/>
      <c r="C8" s="1234"/>
      <c r="D8" s="526" t="s">
        <v>24</v>
      </c>
      <c r="E8" s="526" t="s">
        <v>25</v>
      </c>
      <c r="F8" s="1234"/>
      <c r="G8" s="1234"/>
    </row>
    <row r="9" spans="1:7" ht="18.75" thickBot="1">
      <c r="A9" s="527" t="s">
        <v>26</v>
      </c>
      <c r="B9" s="527" t="s">
        <v>27</v>
      </c>
      <c r="C9" s="528" t="s">
        <v>28</v>
      </c>
      <c r="D9" s="528" t="s">
        <v>29</v>
      </c>
      <c r="E9" s="528" t="s">
        <v>30</v>
      </c>
      <c r="F9" s="527" t="s">
        <v>31</v>
      </c>
      <c r="G9" s="527" t="s">
        <v>32</v>
      </c>
    </row>
    <row r="10" spans="1:7" ht="18.75" thickTop="1">
      <c r="A10" s="324" t="s">
        <v>33</v>
      </c>
      <c r="B10" s="325"/>
      <c r="C10" s="326"/>
      <c r="D10" s="326"/>
      <c r="E10" s="326"/>
      <c r="F10" s="870"/>
      <c r="G10" s="327"/>
    </row>
    <row r="11" spans="1:7" ht="18">
      <c r="A11" s="328" t="s">
        <v>34</v>
      </c>
      <c r="B11" s="329"/>
      <c r="C11" s="330"/>
      <c r="D11" s="330"/>
      <c r="E11" s="330"/>
      <c r="F11" s="871"/>
      <c r="G11" s="332"/>
    </row>
    <row r="12" spans="1:7" ht="18">
      <c r="A12" s="333" t="s">
        <v>35</v>
      </c>
      <c r="B12" s="334"/>
      <c r="C12" s="335"/>
      <c r="D12" s="335"/>
      <c r="E12" s="335"/>
      <c r="F12" s="872"/>
      <c r="G12" s="337"/>
    </row>
    <row r="13" spans="1:7" ht="18">
      <c r="A13" s="359" t="s">
        <v>36</v>
      </c>
      <c r="B13" s="873" t="s">
        <v>37</v>
      </c>
      <c r="C13" s="36">
        <v>8236621.9400000004</v>
      </c>
      <c r="D13" s="36">
        <v>3049514</v>
      </c>
      <c r="E13" s="36">
        <f t="shared" ref="E13:E14" si="0">F13-D13</f>
        <v>8547106</v>
      </c>
      <c r="F13" s="874">
        <v>11596620</v>
      </c>
      <c r="G13" s="874">
        <v>12372003</v>
      </c>
    </row>
    <row r="14" spans="1:7" ht="18">
      <c r="A14" s="359" t="s">
        <v>38</v>
      </c>
      <c r="B14" s="873" t="s">
        <v>39</v>
      </c>
      <c r="C14" s="36">
        <v>598000</v>
      </c>
      <c r="D14" s="36">
        <v>208000</v>
      </c>
      <c r="E14" s="36">
        <f t="shared" si="0"/>
        <v>260000</v>
      </c>
      <c r="F14" s="37">
        <v>468000</v>
      </c>
      <c r="G14" s="37">
        <v>495045</v>
      </c>
    </row>
    <row r="15" spans="1:7" ht="18">
      <c r="A15" s="333" t="s">
        <v>40</v>
      </c>
      <c r="B15" s="36"/>
      <c r="C15" s="36"/>
      <c r="D15" s="36"/>
      <c r="E15" s="36"/>
      <c r="F15" s="37"/>
      <c r="G15" s="37"/>
    </row>
    <row r="16" spans="1:7" ht="18">
      <c r="A16" s="359" t="s">
        <v>41</v>
      </c>
      <c r="B16" s="873" t="s">
        <v>42</v>
      </c>
      <c r="C16" s="36">
        <v>586454.56999999995</v>
      </c>
      <c r="D16" s="36">
        <v>192000</v>
      </c>
      <c r="E16" s="36">
        <f t="shared" ref="E16:E19" si="1">F16-D16</f>
        <v>576000</v>
      </c>
      <c r="F16" s="37">
        <v>768000</v>
      </c>
      <c r="G16" s="37">
        <v>768000</v>
      </c>
    </row>
    <row r="17" spans="1:7" ht="18">
      <c r="A17" s="359" t="s">
        <v>43</v>
      </c>
      <c r="B17" s="873" t="s">
        <v>44</v>
      </c>
      <c r="C17" s="36">
        <v>162250</v>
      </c>
      <c r="D17" s="36">
        <v>96000</v>
      </c>
      <c r="E17" s="36">
        <f t="shared" si="1"/>
        <v>96000</v>
      </c>
      <c r="F17" s="37">
        <v>192000</v>
      </c>
      <c r="G17" s="37">
        <v>216000</v>
      </c>
    </row>
    <row r="18" spans="1:7" ht="18">
      <c r="A18" s="359" t="s">
        <v>45</v>
      </c>
      <c r="B18" s="873" t="s">
        <v>46</v>
      </c>
      <c r="C18" s="36">
        <v>162250</v>
      </c>
      <c r="D18" s="36">
        <v>96000</v>
      </c>
      <c r="E18" s="36">
        <f t="shared" si="1"/>
        <v>96000</v>
      </c>
      <c r="F18" s="37">
        <v>192000</v>
      </c>
      <c r="G18" s="37">
        <v>216000</v>
      </c>
    </row>
    <row r="19" spans="1:7" ht="18">
      <c r="A19" s="359" t="s">
        <v>47</v>
      </c>
      <c r="B19" s="873" t="s">
        <v>48</v>
      </c>
      <c r="C19" s="36">
        <v>150000</v>
      </c>
      <c r="D19" s="38">
        <v>90000</v>
      </c>
      <c r="E19" s="36">
        <f t="shared" si="1"/>
        <v>102000</v>
      </c>
      <c r="F19" s="37">
        <v>192000</v>
      </c>
      <c r="G19" s="37">
        <v>224000</v>
      </c>
    </row>
    <row r="20" spans="1:7" ht="18">
      <c r="A20" s="359" t="s">
        <v>49</v>
      </c>
      <c r="B20" s="873" t="s">
        <v>50</v>
      </c>
      <c r="C20" s="38">
        <v>120000</v>
      </c>
      <c r="D20" s="38">
        <v>0</v>
      </c>
      <c r="E20" s="36">
        <v>210000</v>
      </c>
      <c r="F20" s="37">
        <v>160000</v>
      </c>
      <c r="G20" s="37">
        <v>160000</v>
      </c>
    </row>
    <row r="21" spans="1:7" ht="18">
      <c r="A21" s="359" t="s">
        <v>53</v>
      </c>
      <c r="B21" s="873" t="s">
        <v>54</v>
      </c>
      <c r="C21" s="36">
        <v>786766.3</v>
      </c>
      <c r="D21" s="38">
        <v>0</v>
      </c>
      <c r="E21" s="36">
        <f t="shared" ref="E21:E23" si="2">F21-D21</f>
        <v>1005385</v>
      </c>
      <c r="F21" s="68">
        <v>1005385</v>
      </c>
      <c r="G21" s="68">
        <v>1089762</v>
      </c>
    </row>
    <row r="22" spans="1:7" ht="18">
      <c r="A22" s="359" t="s">
        <v>55</v>
      </c>
      <c r="B22" s="873" t="s">
        <v>56</v>
      </c>
      <c r="C22" s="36">
        <v>127000</v>
      </c>
      <c r="D22" s="38">
        <v>0</v>
      </c>
      <c r="E22" s="36">
        <f t="shared" si="2"/>
        <v>160000</v>
      </c>
      <c r="F22" s="37">
        <v>160000</v>
      </c>
      <c r="G22" s="37">
        <v>160000</v>
      </c>
    </row>
    <row r="23" spans="1:7" ht="18">
      <c r="A23" s="359" t="s">
        <v>57</v>
      </c>
      <c r="B23" s="873" t="s">
        <v>58</v>
      </c>
      <c r="C23" s="36">
        <v>750676</v>
      </c>
      <c r="D23" s="36">
        <v>522046</v>
      </c>
      <c r="E23" s="36">
        <f t="shared" si="2"/>
        <v>483339</v>
      </c>
      <c r="F23" s="69">
        <v>1005385</v>
      </c>
      <c r="G23" s="70">
        <v>1042573</v>
      </c>
    </row>
    <row r="24" spans="1:7" ht="18">
      <c r="A24" s="359" t="s">
        <v>557</v>
      </c>
      <c r="B24" s="873"/>
      <c r="C24" s="36">
        <v>0</v>
      </c>
      <c r="D24" s="36">
        <v>0</v>
      </c>
      <c r="E24" s="36"/>
      <c r="F24" s="68"/>
      <c r="G24" s="68">
        <v>224000</v>
      </c>
    </row>
    <row r="25" spans="1:7" ht="18">
      <c r="A25" s="333" t="s">
        <v>59</v>
      </c>
      <c r="B25" s="873"/>
      <c r="C25" s="36"/>
      <c r="D25" s="36"/>
      <c r="E25" s="36"/>
      <c r="F25" s="37"/>
      <c r="G25" s="37"/>
    </row>
    <row r="26" spans="1:7" ht="18">
      <c r="A26" s="359" t="s">
        <v>60</v>
      </c>
      <c r="B26" s="873" t="s">
        <v>61</v>
      </c>
      <c r="C26" s="36">
        <v>1060861.48</v>
      </c>
      <c r="D26" s="36">
        <v>390901.68</v>
      </c>
      <c r="E26" s="36">
        <f t="shared" ref="E26:E29" si="3">F26-D26</f>
        <v>1056852.72</v>
      </c>
      <c r="F26" s="68">
        <v>1447754.4</v>
      </c>
      <c r="G26" s="68">
        <v>1544045.76</v>
      </c>
    </row>
    <row r="27" spans="1:7" ht="18">
      <c r="A27" s="359" t="s">
        <v>62</v>
      </c>
      <c r="B27" s="873" t="s">
        <v>63</v>
      </c>
      <c r="C27" s="36">
        <v>29500</v>
      </c>
      <c r="D27" s="36">
        <v>17600</v>
      </c>
      <c r="E27" s="36">
        <f t="shared" si="3"/>
        <v>22000</v>
      </c>
      <c r="F27" s="37">
        <v>39600</v>
      </c>
      <c r="G27" s="37">
        <v>76800</v>
      </c>
    </row>
    <row r="28" spans="1:7" ht="18">
      <c r="A28" s="359" t="s">
        <v>64</v>
      </c>
      <c r="B28" s="873" t="s">
        <v>65</v>
      </c>
      <c r="C28" s="36">
        <v>168598.45</v>
      </c>
      <c r="D28" s="36">
        <v>88861.34</v>
      </c>
      <c r="E28" s="36">
        <f t="shared" si="3"/>
        <v>175541.02</v>
      </c>
      <c r="F28" s="68">
        <v>264402.36</v>
      </c>
      <c r="G28" s="68">
        <v>314694.15000000002</v>
      </c>
    </row>
    <row r="29" spans="1:7" ht="18">
      <c r="A29" s="364" t="s">
        <v>66</v>
      </c>
      <c r="B29" s="873" t="s">
        <v>67</v>
      </c>
      <c r="C29" s="36">
        <v>29500</v>
      </c>
      <c r="D29" s="36">
        <v>9600</v>
      </c>
      <c r="E29" s="36">
        <f t="shared" si="3"/>
        <v>30000</v>
      </c>
      <c r="F29" s="37">
        <v>39600</v>
      </c>
      <c r="G29" s="37">
        <v>39600</v>
      </c>
    </row>
    <row r="30" spans="1:7" ht="18">
      <c r="A30" s="333" t="s">
        <v>589</v>
      </c>
      <c r="B30" s="88"/>
      <c r="C30" s="36"/>
      <c r="D30" s="36"/>
      <c r="E30" s="36"/>
      <c r="F30" s="37"/>
      <c r="G30" s="37"/>
    </row>
    <row r="31" spans="1:7" ht="18.75" thickBot="1">
      <c r="A31" s="359" t="s">
        <v>558</v>
      </c>
      <c r="B31" s="875"/>
      <c r="C31" s="48">
        <v>0</v>
      </c>
      <c r="D31" s="48">
        <v>0</v>
      </c>
      <c r="E31" s="48"/>
      <c r="F31" s="49"/>
      <c r="G31" s="49">
        <v>521853.93</v>
      </c>
    </row>
    <row r="32" spans="1:7" ht="19.5" thickTop="1" thickBot="1">
      <c r="A32" s="351" t="s">
        <v>71</v>
      </c>
      <c r="B32" s="876"/>
      <c r="C32" s="52">
        <f t="shared" ref="C32:F32" si="4">SUM(C13:C29)</f>
        <v>12968478.740000002</v>
      </c>
      <c r="D32" s="52">
        <f t="shared" si="4"/>
        <v>4760523.0199999996</v>
      </c>
      <c r="E32" s="52">
        <f t="shared" si="4"/>
        <v>12820223.74</v>
      </c>
      <c r="F32" s="52">
        <f t="shared" si="4"/>
        <v>17530746.759999998</v>
      </c>
      <c r="G32" s="877">
        <f>SUM(G13:G31)</f>
        <v>19464376.84</v>
      </c>
    </row>
    <row r="33" spans="1:7" ht="18.75" thickTop="1">
      <c r="A33" s="355" t="s">
        <v>72</v>
      </c>
      <c r="B33" s="878"/>
      <c r="C33" s="249"/>
      <c r="D33" s="249"/>
      <c r="E33" s="249"/>
      <c r="F33" s="879"/>
      <c r="G33" s="218"/>
    </row>
    <row r="34" spans="1:7" ht="18">
      <c r="A34" s="359" t="s">
        <v>73</v>
      </c>
      <c r="B34" s="878" t="s">
        <v>74</v>
      </c>
      <c r="C34" s="38">
        <v>0</v>
      </c>
      <c r="D34" s="55">
        <v>0</v>
      </c>
      <c r="E34" s="880">
        <f t="shared" ref="E34:E41" si="5">F34-D34</f>
        <v>300000</v>
      </c>
      <c r="F34" s="37">
        <v>300000</v>
      </c>
      <c r="G34" s="37">
        <v>200000</v>
      </c>
    </row>
    <row r="35" spans="1:7" ht="18">
      <c r="A35" s="359" t="s">
        <v>75</v>
      </c>
      <c r="B35" s="878" t="s">
        <v>76</v>
      </c>
      <c r="C35" s="38">
        <v>227015.87</v>
      </c>
      <c r="D35" s="55">
        <v>0</v>
      </c>
      <c r="E35" s="880">
        <f t="shared" si="5"/>
        <v>0</v>
      </c>
      <c r="F35" s="57">
        <v>0</v>
      </c>
      <c r="G35" s="57">
        <v>0</v>
      </c>
    </row>
    <row r="36" spans="1:7" ht="18">
      <c r="A36" s="359" t="s">
        <v>77</v>
      </c>
      <c r="B36" s="873" t="s">
        <v>78</v>
      </c>
      <c r="C36" s="38">
        <v>65738.899999999994</v>
      </c>
      <c r="D36" s="38">
        <v>0</v>
      </c>
      <c r="E36" s="880">
        <f t="shared" si="5"/>
        <v>378960</v>
      </c>
      <c r="F36" s="37">
        <f>400000-21040</f>
        <v>378960</v>
      </c>
      <c r="G36" s="37">
        <v>320000</v>
      </c>
    </row>
    <row r="37" spans="1:7" ht="18">
      <c r="A37" s="359" t="s">
        <v>81</v>
      </c>
      <c r="B37" s="873" t="s">
        <v>82</v>
      </c>
      <c r="C37" s="36">
        <v>65176</v>
      </c>
      <c r="D37" s="38">
        <v>0</v>
      </c>
      <c r="E37" s="880">
        <f t="shared" si="5"/>
        <v>200000</v>
      </c>
      <c r="F37" s="37">
        <v>200000</v>
      </c>
      <c r="G37" s="37">
        <v>200000</v>
      </c>
    </row>
    <row r="38" spans="1:7" ht="18">
      <c r="A38" s="359" t="s">
        <v>83</v>
      </c>
      <c r="B38" s="873" t="s">
        <v>84</v>
      </c>
      <c r="C38" s="55">
        <v>40000</v>
      </c>
      <c r="D38" s="56">
        <v>30000</v>
      </c>
      <c r="E38" s="880">
        <f t="shared" si="5"/>
        <v>30000</v>
      </c>
      <c r="F38" s="37">
        <v>60000</v>
      </c>
      <c r="G38" s="37">
        <v>60000</v>
      </c>
    </row>
    <row r="39" spans="1:7" ht="18">
      <c r="A39" s="359" t="s">
        <v>199</v>
      </c>
      <c r="B39" s="873" t="s">
        <v>200</v>
      </c>
      <c r="C39" s="38">
        <v>0</v>
      </c>
      <c r="D39" s="55">
        <v>0</v>
      </c>
      <c r="E39" s="880">
        <f t="shared" si="5"/>
        <v>161040</v>
      </c>
      <c r="F39" s="37">
        <v>161040</v>
      </c>
      <c r="G39" s="37">
        <f>645*22*12</f>
        <v>170280</v>
      </c>
    </row>
    <row r="40" spans="1:7" ht="18">
      <c r="A40" s="359" t="s">
        <v>100</v>
      </c>
      <c r="B40" s="873" t="s">
        <v>101</v>
      </c>
      <c r="C40" s="38">
        <v>0</v>
      </c>
      <c r="D40" s="55">
        <v>0</v>
      </c>
      <c r="E40" s="880">
        <f t="shared" si="5"/>
        <v>200000</v>
      </c>
      <c r="F40" s="37">
        <v>200000</v>
      </c>
      <c r="G40" s="37">
        <v>100000</v>
      </c>
    </row>
    <row r="41" spans="1:7" ht="18">
      <c r="A41" s="359" t="s">
        <v>382</v>
      </c>
      <c r="B41" s="881" t="s">
        <v>80</v>
      </c>
      <c r="C41" s="38">
        <v>0</v>
      </c>
      <c r="D41" s="55">
        <v>0</v>
      </c>
      <c r="E41" s="882">
        <f t="shared" si="5"/>
        <v>100000</v>
      </c>
      <c r="F41" s="37">
        <v>100000</v>
      </c>
      <c r="G41" s="37">
        <v>100000</v>
      </c>
    </row>
    <row r="42" spans="1:7" ht="18">
      <c r="A42" s="359" t="s">
        <v>108</v>
      </c>
      <c r="B42" s="878" t="s">
        <v>109</v>
      </c>
      <c r="C42" s="36"/>
      <c r="D42" s="56"/>
      <c r="E42" s="880"/>
      <c r="F42" s="37"/>
      <c r="G42" s="37"/>
    </row>
    <row r="43" spans="1:7" ht="36">
      <c r="A43" s="883" t="s">
        <v>383</v>
      </c>
      <c r="B43" s="878"/>
      <c r="C43" s="38">
        <v>742327.72</v>
      </c>
      <c r="D43" s="55">
        <v>0</v>
      </c>
      <c r="E43" s="882">
        <f t="shared" ref="E43:E55" si="6">F43-D43</f>
        <v>1000000</v>
      </c>
      <c r="F43" s="37">
        <v>1000000</v>
      </c>
      <c r="G43" s="37">
        <v>1500000</v>
      </c>
    </row>
    <row r="44" spans="1:7" ht="18">
      <c r="A44" s="883" t="s">
        <v>384</v>
      </c>
      <c r="B44" s="878"/>
      <c r="C44" s="38">
        <v>0</v>
      </c>
      <c r="D44" s="55">
        <v>5000000</v>
      </c>
      <c r="E44" s="882">
        <v>0</v>
      </c>
      <c r="F44" s="37">
        <v>5000000</v>
      </c>
      <c r="G44" s="37">
        <v>800000</v>
      </c>
    </row>
    <row r="45" spans="1:7" ht="36">
      <c r="A45" s="539" t="s">
        <v>385</v>
      </c>
      <c r="B45" s="878"/>
      <c r="C45" s="38">
        <v>432000</v>
      </c>
      <c r="D45" s="55">
        <v>200250</v>
      </c>
      <c r="E45" s="882">
        <f t="shared" si="6"/>
        <v>299750</v>
      </c>
      <c r="F45" s="57">
        <v>500000</v>
      </c>
      <c r="G45" s="57">
        <v>500000</v>
      </c>
    </row>
    <row r="46" spans="1:7" ht="36">
      <c r="A46" s="539" t="s">
        <v>386</v>
      </c>
      <c r="B46" s="878"/>
      <c r="C46" s="55">
        <v>0</v>
      </c>
      <c r="D46" s="55">
        <v>0</v>
      </c>
      <c r="E46" s="882">
        <f t="shared" si="6"/>
        <v>500000</v>
      </c>
      <c r="F46" s="57">
        <v>500000</v>
      </c>
      <c r="G46" s="57">
        <v>1000000</v>
      </c>
    </row>
    <row r="47" spans="1:7" ht="36">
      <c r="A47" s="539" t="s">
        <v>387</v>
      </c>
      <c r="B47" s="878"/>
      <c r="C47" s="55">
        <v>0</v>
      </c>
      <c r="D47" s="55">
        <v>0</v>
      </c>
      <c r="E47" s="882">
        <f t="shared" si="6"/>
        <v>700000</v>
      </c>
      <c r="F47" s="57">
        <v>700000</v>
      </c>
      <c r="G47" s="57">
        <v>500000</v>
      </c>
    </row>
    <row r="48" spans="1:7" ht="36">
      <c r="A48" s="539" t="s">
        <v>388</v>
      </c>
      <c r="B48" s="878"/>
      <c r="C48" s="55">
        <v>0</v>
      </c>
      <c r="D48" s="55">
        <v>0</v>
      </c>
      <c r="E48" s="882">
        <f t="shared" si="6"/>
        <v>500000</v>
      </c>
      <c r="F48" s="57">
        <v>500000</v>
      </c>
      <c r="G48" s="57">
        <v>500000</v>
      </c>
    </row>
    <row r="49" spans="1:7" ht="36">
      <c r="A49" s="539" t="s">
        <v>389</v>
      </c>
      <c r="B49" s="878"/>
      <c r="C49" s="55">
        <v>0</v>
      </c>
      <c r="D49" s="55">
        <v>0</v>
      </c>
      <c r="E49" s="882">
        <f t="shared" si="6"/>
        <v>500000</v>
      </c>
      <c r="F49" s="57">
        <v>500000</v>
      </c>
      <c r="G49" s="57">
        <v>300000</v>
      </c>
    </row>
    <row r="50" spans="1:7" ht="36">
      <c r="A50" s="539" t="s">
        <v>390</v>
      </c>
      <c r="B50" s="878"/>
      <c r="C50" s="55">
        <v>0</v>
      </c>
      <c r="D50" s="55">
        <v>0</v>
      </c>
      <c r="E50" s="882">
        <f t="shared" si="6"/>
        <v>300000</v>
      </c>
      <c r="F50" s="57">
        <v>300000</v>
      </c>
      <c r="G50" s="57">
        <v>200000</v>
      </c>
    </row>
    <row r="51" spans="1:7" ht="54">
      <c r="A51" s="539" t="s">
        <v>391</v>
      </c>
      <c r="B51" s="878"/>
      <c r="C51" s="55">
        <v>0</v>
      </c>
      <c r="D51" s="55">
        <v>0</v>
      </c>
      <c r="E51" s="882">
        <f t="shared" si="6"/>
        <v>300000</v>
      </c>
      <c r="F51" s="57">
        <v>300000</v>
      </c>
      <c r="G51" s="57">
        <v>200000</v>
      </c>
    </row>
    <row r="52" spans="1:7" ht="36">
      <c r="A52" s="539" t="s">
        <v>392</v>
      </c>
      <c r="B52" s="878"/>
      <c r="C52" s="55">
        <v>0</v>
      </c>
      <c r="D52" s="55">
        <v>500000</v>
      </c>
      <c r="E52" s="882">
        <f t="shared" si="6"/>
        <v>300000</v>
      </c>
      <c r="F52" s="57">
        <v>800000</v>
      </c>
      <c r="G52" s="57">
        <v>600000</v>
      </c>
    </row>
    <row r="53" spans="1:7" ht="54">
      <c r="A53" s="539" t="s">
        <v>393</v>
      </c>
      <c r="B53" s="878"/>
      <c r="C53" s="55">
        <v>0</v>
      </c>
      <c r="D53" s="55">
        <v>0</v>
      </c>
      <c r="E53" s="882">
        <f t="shared" si="6"/>
        <v>300000</v>
      </c>
      <c r="F53" s="57">
        <v>300000</v>
      </c>
      <c r="G53" s="57">
        <v>300000</v>
      </c>
    </row>
    <row r="54" spans="1:7" ht="18">
      <c r="A54" s="541" t="s">
        <v>394</v>
      </c>
      <c r="B54" s="878"/>
      <c r="C54" s="38">
        <v>676470.97</v>
      </c>
      <c r="D54" s="55">
        <v>0</v>
      </c>
      <c r="E54" s="882">
        <f t="shared" si="6"/>
        <v>0</v>
      </c>
      <c r="F54" s="57">
        <v>0</v>
      </c>
      <c r="G54" s="57">
        <v>0</v>
      </c>
    </row>
    <row r="55" spans="1:7" ht="36.75" thickBot="1">
      <c r="A55" s="884" t="s">
        <v>395</v>
      </c>
      <c r="B55" s="885"/>
      <c r="C55" s="886">
        <v>1108.94</v>
      </c>
      <c r="D55" s="887">
        <v>0</v>
      </c>
      <c r="E55" s="888">
        <f t="shared" si="6"/>
        <v>0</v>
      </c>
      <c r="F55" s="889">
        <v>0</v>
      </c>
      <c r="G55" s="889">
        <v>0</v>
      </c>
    </row>
    <row r="56" spans="1:7" ht="18">
      <c r="A56" s="524"/>
      <c r="B56" s="890"/>
      <c r="C56" s="891"/>
      <c r="D56" s="891"/>
      <c r="E56" s="891"/>
      <c r="F56" s="891"/>
      <c r="G56" s="891"/>
    </row>
    <row r="57" spans="1:7" ht="18">
      <c r="A57" s="524"/>
      <c r="B57" s="890"/>
      <c r="C57" s="891"/>
      <c r="D57" s="891"/>
      <c r="E57" s="891"/>
      <c r="F57" s="891"/>
      <c r="G57" s="891"/>
    </row>
    <row r="58" spans="1:7" ht="16.5">
      <c r="A58" s="1238"/>
      <c r="B58" s="1238"/>
      <c r="C58" s="1238"/>
      <c r="D58" s="1238"/>
      <c r="E58" s="1238"/>
      <c r="F58" s="1238"/>
      <c r="G58" s="1238"/>
    </row>
    <row r="59" spans="1:7" ht="16.5">
      <c r="A59" s="374"/>
      <c r="B59" s="374"/>
      <c r="C59" s="374"/>
      <c r="D59" s="374"/>
      <c r="E59" s="374"/>
      <c r="F59" s="374"/>
      <c r="G59" s="374"/>
    </row>
    <row r="60" spans="1:7" ht="16.5">
      <c r="A60" s="374"/>
      <c r="B60" s="374"/>
      <c r="C60" s="374"/>
      <c r="D60" s="374"/>
      <c r="E60" s="374"/>
      <c r="F60" s="374"/>
      <c r="G60" s="374"/>
    </row>
    <row r="61" spans="1:7" ht="16.5">
      <c r="A61" s="374"/>
      <c r="B61" s="374"/>
      <c r="C61" s="374"/>
      <c r="D61" s="374"/>
      <c r="E61" s="374"/>
      <c r="F61" s="374"/>
      <c r="G61" s="374"/>
    </row>
    <row r="62" spans="1:7" ht="16.5">
      <c r="A62" s="374"/>
      <c r="B62" s="374"/>
      <c r="C62" s="374"/>
      <c r="D62" s="374"/>
      <c r="E62" s="374"/>
      <c r="F62" s="374"/>
      <c r="G62" s="374"/>
    </row>
    <row r="63" spans="1:7" ht="16.5">
      <c r="A63" s="1238" t="s">
        <v>218</v>
      </c>
      <c r="B63" s="1238"/>
      <c r="C63" s="1238"/>
      <c r="D63" s="1238"/>
      <c r="E63" s="1238"/>
      <c r="F63" s="1238"/>
      <c r="G63" s="1238"/>
    </row>
    <row r="64" spans="1:7" ht="16.5">
      <c r="A64" s="374"/>
      <c r="B64" s="374"/>
      <c r="C64" s="374"/>
      <c r="D64" s="374"/>
      <c r="E64" s="374"/>
      <c r="F64" s="374"/>
      <c r="G64" s="374"/>
    </row>
    <row r="65" spans="1:12" ht="18">
      <c r="A65" s="523" t="s">
        <v>13</v>
      </c>
      <c r="B65" s="315"/>
      <c r="C65" s="316"/>
      <c r="D65" s="316"/>
      <c r="E65" s="316"/>
      <c r="F65" s="315"/>
      <c r="G65" s="315"/>
    </row>
    <row r="66" spans="1:12" ht="21">
      <c r="A66" s="1259" t="s">
        <v>0</v>
      </c>
      <c r="B66" s="1241"/>
      <c r="C66" s="1241"/>
      <c r="D66" s="1241"/>
      <c r="E66" s="1241"/>
      <c r="F66" s="1241"/>
      <c r="G66" s="1241"/>
    </row>
    <row r="67" spans="1:12" ht="18">
      <c r="A67" s="1260" t="s">
        <v>14</v>
      </c>
      <c r="B67" s="1241"/>
      <c r="C67" s="1241"/>
      <c r="D67" s="1241"/>
      <c r="E67" s="1241"/>
      <c r="F67" s="1241"/>
      <c r="G67" s="1241"/>
    </row>
    <row r="68" spans="1:12" ht="18">
      <c r="A68" s="315"/>
      <c r="B68" s="315"/>
      <c r="C68" s="316"/>
      <c r="D68" s="316"/>
      <c r="E68" s="316"/>
      <c r="F68" s="315"/>
      <c r="G68" s="315"/>
    </row>
    <row r="69" spans="1:12" ht="18.75" thickBot="1">
      <c r="A69" s="315" t="s">
        <v>381</v>
      </c>
      <c r="B69" s="315"/>
      <c r="C69" s="315"/>
      <c r="D69" s="396"/>
      <c r="E69" s="315"/>
      <c r="F69" s="315"/>
      <c r="G69" s="315"/>
    </row>
    <row r="70" spans="1:12" ht="16.5" thickTop="1" thickBot="1">
      <c r="A70" s="1261" t="s">
        <v>16</v>
      </c>
      <c r="B70" s="1261" t="s">
        <v>17</v>
      </c>
      <c r="C70" s="1262" t="s">
        <v>715</v>
      </c>
      <c r="D70" s="1263" t="s">
        <v>574</v>
      </c>
      <c r="E70" s="1242"/>
      <c r="F70" s="1243"/>
      <c r="G70" s="1228" t="s">
        <v>556</v>
      </c>
    </row>
    <row r="71" spans="1:12" ht="35.25" thickTop="1">
      <c r="A71" s="1234"/>
      <c r="B71" s="1234"/>
      <c r="C71" s="1234"/>
      <c r="D71" s="525" t="s">
        <v>21</v>
      </c>
      <c r="E71" s="525" t="s">
        <v>22</v>
      </c>
      <c r="F71" s="1261" t="s">
        <v>23</v>
      </c>
      <c r="G71" s="1234"/>
    </row>
    <row r="72" spans="1:12" ht="18">
      <c r="A72" s="1234"/>
      <c r="B72" s="1234"/>
      <c r="C72" s="1234"/>
      <c r="D72" s="526" t="s">
        <v>24</v>
      </c>
      <c r="E72" s="526" t="s">
        <v>25</v>
      </c>
      <c r="F72" s="1234"/>
      <c r="G72" s="1234"/>
    </row>
    <row r="73" spans="1:12" ht="18.75" thickBot="1">
      <c r="A73" s="527" t="s">
        <v>26</v>
      </c>
      <c r="B73" s="527" t="s">
        <v>27</v>
      </c>
      <c r="C73" s="528" t="s">
        <v>28</v>
      </c>
      <c r="D73" s="528" t="s">
        <v>29</v>
      </c>
      <c r="E73" s="528" t="s">
        <v>30</v>
      </c>
      <c r="F73" s="527" t="s">
        <v>31</v>
      </c>
      <c r="G73" s="527" t="s">
        <v>32</v>
      </c>
    </row>
    <row r="74" spans="1:12" ht="19.5" thickTop="1" thickBot="1">
      <c r="A74" s="351" t="s">
        <v>162</v>
      </c>
      <c r="B74" s="52"/>
      <c r="C74" s="59">
        <f>SUM(C34:C73)</f>
        <v>2249838.4</v>
      </c>
      <c r="D74" s="59">
        <f>SUM(D34:D73)</f>
        <v>5730250</v>
      </c>
      <c r="E74" s="59">
        <f>SUM(E34:E73)</f>
        <v>6069750</v>
      </c>
      <c r="F74" s="59">
        <f>SUM(F34:F73)</f>
        <v>11800000</v>
      </c>
      <c r="G74" s="59">
        <f>SUM(G34:G73)</f>
        <v>7550280</v>
      </c>
      <c r="K74" s="314">
        <f>F74*0.35</f>
        <v>4129999.9999999995</v>
      </c>
      <c r="L74" s="544">
        <f>F74-K74</f>
        <v>7670000</v>
      </c>
    </row>
    <row r="75" spans="1:12" ht="18.75" thickTop="1">
      <c r="A75" s="355" t="s">
        <v>163</v>
      </c>
      <c r="B75" s="878"/>
      <c r="C75" s="91"/>
      <c r="D75" s="91"/>
      <c r="E75" s="91"/>
      <c r="F75" s="892"/>
      <c r="G75" s="271"/>
    </row>
    <row r="76" spans="1:12" ht="18">
      <c r="A76" s="359" t="s">
        <v>209</v>
      </c>
      <c r="B76" s="88" t="s">
        <v>210</v>
      </c>
      <c r="C76" s="38">
        <v>238900</v>
      </c>
      <c r="D76" s="38">
        <v>0</v>
      </c>
      <c r="E76" s="38">
        <f t="shared" ref="E76:E77" si="7">F76-D76</f>
        <v>0</v>
      </c>
      <c r="F76" s="57">
        <v>0</v>
      </c>
      <c r="G76" s="57">
        <v>0</v>
      </c>
    </row>
    <row r="77" spans="1:12" ht="36.75" thickBot="1">
      <c r="A77" s="538" t="s">
        <v>396</v>
      </c>
      <c r="B77" s="88" t="s">
        <v>206</v>
      </c>
      <c r="C77" s="38">
        <v>0</v>
      </c>
      <c r="D77" s="38">
        <v>0</v>
      </c>
      <c r="E77" s="38">
        <f t="shared" si="7"/>
        <v>1000000</v>
      </c>
      <c r="F77" s="57">
        <v>1000000</v>
      </c>
      <c r="G77" s="57">
        <v>0</v>
      </c>
    </row>
    <row r="78" spans="1:12" ht="19.5" thickTop="1" thickBot="1">
      <c r="A78" s="351" t="s">
        <v>171</v>
      </c>
      <c r="B78" s="52"/>
      <c r="C78" s="59">
        <f t="shared" ref="C78:F78" si="8">SUM(C76)</f>
        <v>238900</v>
      </c>
      <c r="D78" s="59">
        <f t="shared" si="8"/>
        <v>0</v>
      </c>
      <c r="E78" s="59">
        <f t="shared" si="8"/>
        <v>0</v>
      </c>
      <c r="F78" s="59">
        <f t="shared" si="8"/>
        <v>0</v>
      </c>
      <c r="G78" s="59">
        <f>SUM(G76:G77)</f>
        <v>0</v>
      </c>
    </row>
    <row r="79" spans="1:12" ht="19.5" thickTop="1" thickBot="1">
      <c r="A79" s="351" t="s">
        <v>181</v>
      </c>
      <c r="B79" s="52"/>
      <c r="C79" s="59">
        <f>C78+C74+C32</f>
        <v>15457217.140000002</v>
      </c>
      <c r="D79" s="59">
        <f>D78+D74+D32</f>
        <v>10490773.02</v>
      </c>
      <c r="E79" s="59">
        <f>E78+E74+E32</f>
        <v>18889973.740000002</v>
      </c>
      <c r="F79" s="59">
        <f>F78+F74+F32</f>
        <v>29330746.759999998</v>
      </c>
      <c r="G79" s="59">
        <f>G78+G74+G32</f>
        <v>27014656.84</v>
      </c>
    </row>
    <row r="80" spans="1:12" ht="18.75" thickTop="1">
      <c r="A80" s="317"/>
      <c r="B80" s="146"/>
      <c r="C80" s="146"/>
      <c r="D80" s="146"/>
      <c r="E80" s="146"/>
      <c r="F80" s="146"/>
      <c r="G80" s="146"/>
    </row>
    <row r="81" spans="1:7" ht="18">
      <c r="A81" s="317"/>
      <c r="B81" s="146"/>
      <c r="C81" s="146"/>
      <c r="D81" s="146"/>
      <c r="E81" s="146"/>
      <c r="F81" s="146"/>
      <c r="G81" s="146"/>
    </row>
    <row r="82" spans="1:7" ht="18">
      <c r="A82" s="317"/>
      <c r="B82" s="146"/>
      <c r="C82" s="146"/>
      <c r="D82" s="146"/>
      <c r="E82" s="146"/>
      <c r="F82" s="146"/>
      <c r="G82" s="146"/>
    </row>
    <row r="83" spans="1:7" ht="18">
      <c r="A83" s="317"/>
      <c r="B83" s="146"/>
      <c r="C83" s="146"/>
      <c r="D83" s="146"/>
      <c r="E83" s="146"/>
      <c r="F83" s="146"/>
      <c r="G83" s="146"/>
    </row>
    <row r="84" spans="1:7" ht="18">
      <c r="A84" s="317"/>
      <c r="B84" s="146"/>
      <c r="C84" s="146"/>
      <c r="D84" s="146"/>
      <c r="E84" s="146"/>
      <c r="F84" s="146"/>
      <c r="G84" s="146"/>
    </row>
    <row r="85" spans="1:7" ht="18">
      <c r="A85" s="317"/>
      <c r="B85" s="146"/>
      <c r="C85" s="146"/>
      <c r="D85" s="146"/>
      <c r="E85" s="146"/>
      <c r="F85" s="146"/>
      <c r="G85" s="146"/>
    </row>
    <row r="86" spans="1:7" ht="18">
      <c r="A86" s="317"/>
      <c r="B86" s="146"/>
      <c r="C86" s="146"/>
      <c r="D86" s="146"/>
      <c r="E86" s="146"/>
      <c r="F86" s="146"/>
      <c r="G86" s="146"/>
    </row>
    <row r="87" spans="1:7" ht="18">
      <c r="A87" s="317"/>
      <c r="B87" s="146"/>
      <c r="C87" s="146"/>
      <c r="D87" s="146"/>
      <c r="E87" s="146"/>
      <c r="F87" s="146"/>
      <c r="G87" s="146"/>
    </row>
    <row r="88" spans="1:7" ht="18">
      <c r="A88" s="368"/>
      <c r="B88" s="1293"/>
      <c r="C88" s="1290"/>
      <c r="D88" s="1290"/>
      <c r="E88" s="894"/>
      <c r="F88" s="1294"/>
      <c r="G88" s="1292"/>
    </row>
    <row r="89" spans="1:7" ht="18">
      <c r="A89" s="371"/>
      <c r="B89" s="1289"/>
      <c r="C89" s="1290"/>
      <c r="D89" s="1290"/>
      <c r="E89" s="895"/>
      <c r="F89" s="1291"/>
      <c r="G89" s="1292"/>
    </row>
    <row r="90" spans="1:7" ht="18">
      <c r="A90" s="317"/>
      <c r="B90" s="146"/>
      <c r="C90" s="146"/>
      <c r="D90" s="146"/>
      <c r="E90" s="146"/>
      <c r="F90" s="146"/>
      <c r="G90" s="146"/>
    </row>
    <row r="91" spans="1:7" ht="18">
      <c r="A91" s="317"/>
      <c r="B91" s="146"/>
      <c r="C91" s="146"/>
      <c r="D91" s="146"/>
      <c r="E91" s="146"/>
      <c r="F91" s="146"/>
      <c r="G91" s="146"/>
    </row>
    <row r="92" spans="1:7" ht="18">
      <c r="A92" s="317"/>
      <c r="B92" s="146"/>
      <c r="C92" s="146"/>
      <c r="D92" s="146"/>
      <c r="E92" s="146"/>
      <c r="F92" s="146"/>
      <c r="G92" s="146"/>
    </row>
    <row r="93" spans="1:7">
      <c r="B93" s="893"/>
      <c r="C93" s="893"/>
      <c r="D93" s="893"/>
      <c r="E93" s="893"/>
      <c r="F93" s="893"/>
      <c r="G93" s="893"/>
    </row>
    <row r="94" spans="1:7" ht="18">
      <c r="A94" s="896"/>
      <c r="B94" s="897"/>
      <c r="C94" s="897"/>
      <c r="D94" s="897"/>
      <c r="E94" s="897"/>
      <c r="F94" s="897"/>
      <c r="G94" s="898"/>
    </row>
    <row r="95" spans="1:7" ht="18">
      <c r="A95" s="317"/>
      <c r="B95" s="897"/>
      <c r="C95" s="897"/>
      <c r="D95" s="897"/>
      <c r="E95" s="897"/>
      <c r="F95" s="897"/>
      <c r="G95" s="897"/>
    </row>
    <row r="96" spans="1:7" ht="18">
      <c r="A96" s="317"/>
      <c r="B96" s="897"/>
      <c r="C96" s="897"/>
      <c r="D96" s="897"/>
      <c r="E96" s="897"/>
      <c r="F96" s="897"/>
      <c r="G96" s="897"/>
    </row>
    <row r="97" spans="1:7" ht="18">
      <c r="A97" s="317"/>
      <c r="B97" s="146"/>
      <c r="C97" s="146"/>
      <c r="D97" s="146"/>
      <c r="E97" s="146"/>
      <c r="F97" s="146"/>
      <c r="G97" s="146"/>
    </row>
    <row r="98" spans="1:7" ht="18">
      <c r="A98" s="317"/>
      <c r="B98" s="146"/>
      <c r="C98" s="146"/>
      <c r="D98" s="146"/>
      <c r="E98" s="146"/>
      <c r="F98" s="146"/>
      <c r="G98" s="146"/>
    </row>
    <row r="99" spans="1:7" ht="18">
      <c r="A99" s="317"/>
      <c r="B99" s="146"/>
      <c r="C99" s="146"/>
      <c r="D99" s="146"/>
      <c r="E99" s="146"/>
      <c r="F99" s="146"/>
      <c r="G99" s="146"/>
    </row>
    <row r="100" spans="1:7" ht="18">
      <c r="A100" s="317"/>
      <c r="B100" s="146"/>
      <c r="C100" s="146"/>
      <c r="D100" s="146"/>
      <c r="E100" s="146"/>
      <c r="F100" s="146"/>
      <c r="G100" s="146"/>
    </row>
    <row r="101" spans="1:7" ht="18">
      <c r="A101" s="317"/>
      <c r="B101" s="146"/>
      <c r="C101" s="146"/>
      <c r="D101" s="146"/>
      <c r="E101" s="146"/>
      <c r="F101" s="146"/>
      <c r="G101" s="146"/>
    </row>
    <row r="102" spans="1:7" ht="18">
      <c r="A102" s="317"/>
      <c r="B102" s="146"/>
      <c r="C102" s="146"/>
      <c r="D102" s="146"/>
      <c r="E102" s="146"/>
      <c r="F102" s="146"/>
      <c r="G102" s="146"/>
    </row>
    <row r="103" spans="1:7" ht="18">
      <c r="A103" s="317"/>
      <c r="B103" s="146"/>
      <c r="C103" s="146"/>
      <c r="D103" s="146"/>
      <c r="E103" s="146"/>
      <c r="F103" s="146"/>
      <c r="G103" s="146"/>
    </row>
    <row r="104" spans="1:7" ht="18">
      <c r="A104" s="317"/>
      <c r="B104" s="146"/>
      <c r="C104" s="146"/>
      <c r="D104" s="146"/>
      <c r="E104" s="146"/>
      <c r="F104" s="146"/>
      <c r="G104" s="146"/>
    </row>
    <row r="105" spans="1:7" ht="18">
      <c r="A105" s="317"/>
      <c r="B105" s="146"/>
      <c r="C105" s="146"/>
      <c r="D105" s="146"/>
      <c r="E105" s="146"/>
      <c r="F105" s="146"/>
      <c r="G105" s="146"/>
    </row>
    <row r="106" spans="1:7" ht="18">
      <c r="A106" s="317"/>
      <c r="B106" s="146"/>
      <c r="C106" s="146"/>
      <c r="D106" s="146"/>
      <c r="E106" s="146"/>
      <c r="F106" s="146"/>
      <c r="G106" s="146"/>
    </row>
    <row r="107" spans="1:7" ht="18">
      <c r="A107" s="317"/>
      <c r="B107" s="146"/>
      <c r="C107" s="146"/>
      <c r="D107" s="146"/>
      <c r="E107" s="146"/>
      <c r="F107" s="146"/>
      <c r="G107" s="146"/>
    </row>
    <row r="108" spans="1:7" ht="18">
      <c r="A108" s="317"/>
      <c r="B108" s="146"/>
      <c r="C108" s="146"/>
      <c r="D108" s="146"/>
      <c r="E108" s="146"/>
      <c r="F108" s="146"/>
      <c r="G108" s="146"/>
    </row>
    <row r="109" spans="1:7" ht="18">
      <c r="A109" s="317"/>
      <c r="B109" s="146"/>
      <c r="C109" s="146"/>
      <c r="D109" s="146"/>
      <c r="E109" s="146"/>
      <c r="F109" s="146"/>
      <c r="G109" s="146"/>
    </row>
    <row r="110" spans="1:7" ht="18">
      <c r="A110" s="317"/>
      <c r="B110" s="146"/>
      <c r="C110" s="146"/>
      <c r="D110" s="146"/>
      <c r="E110" s="146"/>
      <c r="F110" s="146"/>
      <c r="G110" s="146"/>
    </row>
    <row r="111" spans="1:7" ht="18">
      <c r="A111" s="317"/>
      <c r="B111" s="146"/>
      <c r="C111" s="146"/>
      <c r="D111" s="146"/>
      <c r="E111" s="146"/>
      <c r="F111" s="146"/>
      <c r="G111" s="146"/>
    </row>
    <row r="112" spans="1:7" ht="18">
      <c r="A112" s="317"/>
      <c r="B112" s="146"/>
      <c r="C112" s="146"/>
      <c r="D112" s="146"/>
      <c r="E112" s="146"/>
      <c r="F112" s="146"/>
      <c r="G112" s="146"/>
    </row>
    <row r="113" spans="1:7" ht="18">
      <c r="A113" s="317"/>
      <c r="B113" s="146"/>
      <c r="C113" s="146"/>
      <c r="D113" s="146"/>
      <c r="E113" s="146"/>
      <c r="F113" s="146"/>
      <c r="G113" s="146"/>
    </row>
    <row r="114" spans="1:7" ht="18">
      <c r="A114" s="317"/>
      <c r="B114" s="146"/>
      <c r="C114" s="146"/>
      <c r="D114" s="146"/>
      <c r="E114" s="146"/>
      <c r="F114" s="146"/>
      <c r="G114" s="146"/>
    </row>
    <row r="115" spans="1:7" ht="18">
      <c r="A115" s="317"/>
      <c r="B115" s="146"/>
      <c r="C115" s="146"/>
      <c r="D115" s="146"/>
      <c r="E115" s="146"/>
      <c r="F115" s="146"/>
      <c r="G115" s="146"/>
    </row>
    <row r="116" spans="1:7" ht="18">
      <c r="A116" s="317"/>
      <c r="B116" s="146"/>
      <c r="C116" s="146"/>
      <c r="D116" s="146"/>
      <c r="E116" s="146"/>
      <c r="F116" s="146"/>
      <c r="G116" s="146"/>
    </row>
    <row r="117" spans="1:7" ht="18">
      <c r="A117" s="317"/>
      <c r="B117" s="146"/>
      <c r="C117" s="146"/>
      <c r="D117" s="146"/>
      <c r="E117" s="146"/>
      <c r="F117" s="146"/>
      <c r="G117" s="146"/>
    </row>
    <row r="118" spans="1:7" ht="18">
      <c r="A118" s="317"/>
      <c r="B118" s="146"/>
      <c r="C118" s="146"/>
      <c r="D118" s="146"/>
      <c r="E118" s="146"/>
      <c r="F118" s="146"/>
      <c r="G118" s="146"/>
    </row>
    <row r="119" spans="1:7" ht="18">
      <c r="A119" s="317"/>
      <c r="B119" s="146"/>
      <c r="C119" s="146"/>
      <c r="D119" s="146"/>
      <c r="E119" s="146"/>
      <c r="F119" s="146"/>
      <c r="G119" s="146"/>
    </row>
    <row r="120" spans="1:7" ht="18">
      <c r="A120" s="317"/>
      <c r="B120" s="146"/>
      <c r="C120" s="146"/>
      <c r="D120" s="146"/>
      <c r="E120" s="146"/>
      <c r="F120" s="146"/>
      <c r="G120" s="146"/>
    </row>
    <row r="121" spans="1:7" ht="18">
      <c r="A121" s="317"/>
      <c r="B121" s="146"/>
      <c r="C121" s="146"/>
      <c r="D121" s="146"/>
      <c r="E121" s="146"/>
      <c r="F121" s="146"/>
      <c r="G121" s="146"/>
    </row>
    <row r="122" spans="1:7" ht="18">
      <c r="A122" s="317"/>
      <c r="B122" s="146"/>
      <c r="C122" s="146"/>
      <c r="D122" s="146"/>
      <c r="E122" s="146"/>
      <c r="F122" s="146"/>
      <c r="G122" s="146"/>
    </row>
    <row r="123" spans="1:7" ht="18">
      <c r="A123" s="317"/>
      <c r="B123" s="146"/>
      <c r="C123" s="146"/>
      <c r="D123" s="146"/>
      <c r="E123" s="146"/>
      <c r="F123" s="146"/>
      <c r="G123" s="146"/>
    </row>
    <row r="124" spans="1:7" ht="18">
      <c r="A124" s="317" t="s">
        <v>183</v>
      </c>
      <c r="B124" s="146" t="s">
        <v>184</v>
      </c>
      <c r="C124" s="146"/>
      <c r="D124" s="146"/>
      <c r="E124" s="146"/>
      <c r="F124" s="146" t="s">
        <v>185</v>
      </c>
      <c r="G124" s="146"/>
    </row>
    <row r="125" spans="1:7" ht="18">
      <c r="A125" s="317"/>
      <c r="B125" s="146"/>
      <c r="C125" s="146"/>
      <c r="D125" s="146"/>
      <c r="E125" s="146"/>
      <c r="F125" s="146"/>
      <c r="G125" s="146"/>
    </row>
    <row r="126" spans="1:7" ht="18">
      <c r="A126" s="317"/>
      <c r="B126" s="146"/>
      <c r="C126" s="146"/>
      <c r="D126" s="146"/>
      <c r="E126" s="146"/>
      <c r="F126" s="146"/>
      <c r="G126" s="146"/>
    </row>
    <row r="127" spans="1:7" ht="18">
      <c r="A127" s="317"/>
      <c r="B127" s="146"/>
      <c r="C127" s="146"/>
      <c r="D127" s="146"/>
      <c r="E127" s="146"/>
      <c r="F127" s="146"/>
      <c r="G127" s="146"/>
    </row>
    <row r="128" spans="1:7" ht="18">
      <c r="A128" s="317"/>
      <c r="B128" s="146"/>
      <c r="C128" s="146"/>
      <c r="D128" s="146"/>
      <c r="E128" s="146"/>
      <c r="F128" s="146"/>
      <c r="G128" s="146"/>
    </row>
    <row r="129" spans="1:7" ht="18">
      <c r="A129" s="317"/>
      <c r="B129" s="146"/>
      <c r="C129" s="146"/>
      <c r="D129" s="146"/>
      <c r="E129" s="146"/>
      <c r="F129" s="146"/>
      <c r="G129" s="146"/>
    </row>
    <row r="130" spans="1:7" ht="18">
      <c r="A130" s="317"/>
      <c r="B130" s="146"/>
      <c r="C130" s="146"/>
      <c r="D130" s="146"/>
      <c r="E130" s="146"/>
      <c r="F130" s="146"/>
      <c r="G130" s="146"/>
    </row>
    <row r="131" spans="1:7" ht="18">
      <c r="A131" s="368" t="s">
        <v>187</v>
      </c>
      <c r="B131" s="1293" t="s">
        <v>187</v>
      </c>
      <c r="C131" s="1290"/>
      <c r="D131" s="1290"/>
      <c r="E131" s="894"/>
      <c r="F131" s="1294" t="s">
        <v>188</v>
      </c>
      <c r="G131" s="1292"/>
    </row>
    <row r="132" spans="1:7" ht="18">
      <c r="A132" s="371" t="s">
        <v>397</v>
      </c>
      <c r="B132" s="1289" t="s">
        <v>190</v>
      </c>
      <c r="C132" s="1290"/>
      <c r="D132" s="1290"/>
      <c r="E132" s="895"/>
      <c r="F132" s="1291" t="s">
        <v>191</v>
      </c>
      <c r="G132" s="1292"/>
    </row>
    <row r="133" spans="1:7" ht="18">
      <c r="A133" s="317"/>
      <c r="B133" s="146"/>
      <c r="C133" s="146"/>
      <c r="D133" s="146"/>
      <c r="E133" s="146"/>
      <c r="F133" s="146"/>
      <c r="G133" s="146"/>
    </row>
    <row r="134" spans="1:7" ht="18">
      <c r="A134" s="317"/>
      <c r="B134" s="146"/>
      <c r="C134" s="146"/>
      <c r="D134" s="146"/>
      <c r="E134" s="146"/>
      <c r="F134" s="146"/>
      <c r="G134" s="146"/>
    </row>
    <row r="135" spans="1:7" ht="16.5">
      <c r="A135" s="1238" t="s">
        <v>222</v>
      </c>
      <c r="B135" s="1238"/>
      <c r="C135" s="1238"/>
      <c r="D135" s="1238"/>
      <c r="E135" s="1238"/>
      <c r="F135" s="1238"/>
      <c r="G135" s="1238"/>
    </row>
    <row r="136" spans="1:7" ht="18">
      <c r="A136" s="317"/>
      <c r="B136" s="146"/>
      <c r="C136" s="146"/>
      <c r="D136" s="146"/>
      <c r="E136" s="146"/>
      <c r="F136" s="146"/>
      <c r="G136" s="146"/>
    </row>
    <row r="137" spans="1:7" ht="18">
      <c r="A137" s="317"/>
      <c r="B137" s="146"/>
      <c r="C137" s="146"/>
      <c r="D137" s="146"/>
      <c r="E137" s="146"/>
      <c r="F137" s="146"/>
      <c r="G137" s="146"/>
    </row>
    <row r="138" spans="1:7" ht="18">
      <c r="A138" s="317"/>
      <c r="B138" s="146"/>
      <c r="C138" s="146"/>
      <c r="D138" s="146"/>
      <c r="E138" s="146"/>
      <c r="F138" s="146"/>
      <c r="G138" s="146"/>
    </row>
    <row r="139" spans="1:7" ht="18">
      <c r="A139" s="317"/>
      <c r="B139" s="146"/>
      <c r="C139" s="146"/>
      <c r="D139" s="146"/>
      <c r="E139" s="146"/>
      <c r="F139" s="146"/>
      <c r="G139" s="146"/>
    </row>
    <row r="140" spans="1:7" ht="18">
      <c r="A140" s="317"/>
      <c r="B140" s="146"/>
      <c r="C140" s="146"/>
      <c r="D140" s="146"/>
      <c r="E140" s="146"/>
      <c r="F140" s="146"/>
      <c r="G140" s="146"/>
    </row>
    <row r="141" spans="1:7" ht="18">
      <c r="A141" s="317"/>
      <c r="B141" s="146"/>
      <c r="C141" s="146"/>
      <c r="D141" s="146"/>
      <c r="E141" s="146"/>
      <c r="F141" s="146"/>
      <c r="G141" s="146"/>
    </row>
    <row r="142" spans="1:7" ht="18">
      <c r="A142" s="317"/>
      <c r="B142" s="146"/>
      <c r="C142" s="146"/>
      <c r="D142" s="146"/>
      <c r="E142" s="146"/>
      <c r="F142" s="146"/>
      <c r="G142" s="146"/>
    </row>
    <row r="143" spans="1:7" ht="18">
      <c r="A143" s="317"/>
      <c r="B143" s="146"/>
      <c r="C143" s="146"/>
      <c r="D143" s="146"/>
      <c r="E143" s="146"/>
      <c r="F143" s="146"/>
      <c r="G143" s="146"/>
    </row>
    <row r="144" spans="1:7" ht="18">
      <c r="A144" s="317"/>
      <c r="B144" s="146"/>
      <c r="C144" s="146"/>
      <c r="D144" s="146"/>
      <c r="E144" s="146"/>
      <c r="F144" s="146"/>
      <c r="G144" s="146"/>
    </row>
    <row r="145" spans="1:7" ht="18">
      <c r="A145" s="317"/>
      <c r="B145" s="146"/>
      <c r="C145" s="146"/>
      <c r="D145" s="146"/>
      <c r="E145" s="146"/>
      <c r="F145" s="146"/>
      <c r="G145" s="146"/>
    </row>
    <row r="146" spans="1:7" ht="18">
      <c r="A146" s="317"/>
      <c r="B146" s="146"/>
      <c r="C146" s="146"/>
      <c r="D146" s="146"/>
      <c r="E146" s="146"/>
      <c r="F146" s="146"/>
      <c r="G146" s="146"/>
    </row>
    <row r="147" spans="1:7" ht="18">
      <c r="A147" s="317"/>
      <c r="B147" s="146"/>
      <c r="C147" s="146"/>
      <c r="D147" s="146"/>
      <c r="E147" s="146"/>
      <c r="F147" s="146"/>
      <c r="G147" s="146"/>
    </row>
    <row r="148" spans="1:7" ht="18">
      <c r="A148" s="317"/>
      <c r="B148" s="146"/>
      <c r="C148" s="146"/>
      <c r="D148" s="146"/>
      <c r="E148" s="146"/>
      <c r="F148" s="146"/>
      <c r="G148" s="146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 ht="18">
      <c r="A249" s="317"/>
      <c r="B249" s="317"/>
      <c r="C249" s="317"/>
      <c r="D249" s="317"/>
      <c r="E249" s="317"/>
      <c r="F249" s="317"/>
      <c r="G249" s="317"/>
    </row>
    <row r="250" spans="1:7" ht="18">
      <c r="A250" s="317"/>
      <c r="B250" s="317"/>
      <c r="C250" s="317"/>
      <c r="D250" s="317"/>
      <c r="E250" s="317"/>
      <c r="F250" s="317"/>
      <c r="G250" s="317"/>
    </row>
    <row r="251" spans="1:7" ht="18">
      <c r="A251" s="317"/>
      <c r="B251" s="317"/>
      <c r="C251" s="317"/>
      <c r="D251" s="317"/>
      <c r="E251" s="317"/>
      <c r="F251" s="317"/>
      <c r="G251" s="317"/>
    </row>
    <row r="252" spans="1:7" ht="18">
      <c r="A252" s="317"/>
      <c r="B252" s="317"/>
      <c r="C252" s="317"/>
      <c r="D252" s="317"/>
      <c r="E252" s="317"/>
      <c r="F252" s="317"/>
      <c r="G252" s="317"/>
    </row>
    <row r="253" spans="1:7" ht="18">
      <c r="A253" s="317"/>
      <c r="B253" s="317"/>
      <c r="C253" s="317"/>
      <c r="D253" s="317"/>
      <c r="E253" s="317"/>
      <c r="F253" s="317"/>
      <c r="G253" s="317"/>
    </row>
    <row r="254" spans="1:7" ht="18">
      <c r="A254" s="317"/>
      <c r="B254" s="317"/>
      <c r="C254" s="317"/>
      <c r="D254" s="317"/>
      <c r="E254" s="317"/>
      <c r="F254" s="317"/>
      <c r="G254" s="317"/>
    </row>
    <row r="255" spans="1:7" ht="18">
      <c r="A255" s="317"/>
      <c r="B255" s="317"/>
      <c r="C255" s="317"/>
      <c r="D255" s="317"/>
      <c r="E255" s="317"/>
      <c r="F255" s="317"/>
      <c r="G255" s="317"/>
    </row>
    <row r="256" spans="1:7" ht="18">
      <c r="A256" s="317"/>
      <c r="B256" s="317"/>
      <c r="C256" s="317"/>
      <c r="D256" s="317"/>
      <c r="E256" s="317"/>
      <c r="F256" s="317"/>
      <c r="G256" s="317"/>
    </row>
    <row r="257" spans="1:7" ht="18">
      <c r="A257" s="317"/>
      <c r="B257" s="317"/>
      <c r="C257" s="317"/>
      <c r="D257" s="317"/>
      <c r="E257" s="317"/>
      <c r="F257" s="317"/>
      <c r="G257" s="317"/>
    </row>
    <row r="258" spans="1:7" ht="18">
      <c r="A258" s="317"/>
      <c r="B258" s="317"/>
      <c r="C258" s="317"/>
      <c r="D258" s="317"/>
      <c r="E258" s="317"/>
      <c r="F258" s="317"/>
      <c r="G258" s="317"/>
    </row>
    <row r="259" spans="1:7" ht="18">
      <c r="A259" s="317"/>
      <c r="B259" s="317"/>
      <c r="C259" s="317"/>
      <c r="D259" s="317"/>
      <c r="E259" s="317"/>
      <c r="F259" s="317"/>
      <c r="G259" s="317"/>
    </row>
    <row r="260" spans="1:7" ht="18">
      <c r="A260" s="317"/>
      <c r="B260" s="317"/>
      <c r="C260" s="317"/>
      <c r="D260" s="317"/>
      <c r="E260" s="317"/>
      <c r="F260" s="317"/>
      <c r="G260" s="317"/>
    </row>
    <row r="261" spans="1:7" ht="18">
      <c r="A261" s="317"/>
      <c r="B261" s="317"/>
      <c r="C261" s="317"/>
      <c r="D261" s="317"/>
      <c r="E261" s="317"/>
      <c r="F261" s="317"/>
      <c r="G261" s="317"/>
    </row>
    <row r="262" spans="1:7" ht="18">
      <c r="A262" s="317"/>
      <c r="B262" s="317"/>
      <c r="C262" s="317"/>
      <c r="D262" s="317"/>
      <c r="E262" s="317"/>
      <c r="F262" s="317"/>
      <c r="G262" s="317"/>
    </row>
    <row r="263" spans="1:7" ht="18">
      <c r="A263" s="317"/>
      <c r="B263" s="317"/>
      <c r="C263" s="317"/>
      <c r="D263" s="317"/>
      <c r="E263" s="317"/>
      <c r="F263" s="317"/>
      <c r="G263" s="317"/>
    </row>
    <row r="264" spans="1:7" ht="18">
      <c r="A264" s="317"/>
      <c r="B264" s="317"/>
      <c r="C264" s="317"/>
      <c r="D264" s="317"/>
      <c r="E264" s="317"/>
      <c r="F264" s="317"/>
      <c r="G264" s="317"/>
    </row>
    <row r="265" spans="1:7" ht="18">
      <c r="A265" s="317"/>
      <c r="B265" s="317"/>
      <c r="C265" s="317"/>
      <c r="D265" s="317"/>
      <c r="E265" s="317"/>
      <c r="F265" s="317"/>
      <c r="G265" s="317"/>
    </row>
    <row r="266" spans="1:7" ht="18">
      <c r="A266" s="317"/>
      <c r="B266" s="317"/>
      <c r="C266" s="317"/>
      <c r="D266" s="317"/>
      <c r="E266" s="317"/>
      <c r="F266" s="317"/>
      <c r="G266" s="317"/>
    </row>
    <row r="267" spans="1:7" ht="18">
      <c r="A267" s="317"/>
      <c r="B267" s="317"/>
      <c r="C267" s="317"/>
      <c r="D267" s="317"/>
      <c r="E267" s="317"/>
      <c r="F267" s="317"/>
      <c r="G267" s="31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  <row r="994" spans="1:7">
      <c r="A994" s="377"/>
      <c r="B994" s="377"/>
      <c r="C994" s="377"/>
      <c r="D994" s="377"/>
      <c r="E994" s="377"/>
      <c r="F994" s="377"/>
      <c r="G994" s="377"/>
    </row>
    <row r="995" spans="1:7">
      <c r="A995" s="377"/>
      <c r="B995" s="377"/>
      <c r="C995" s="377"/>
      <c r="D995" s="377"/>
      <c r="E995" s="377"/>
      <c r="F995" s="377"/>
      <c r="G995" s="377"/>
    </row>
    <row r="996" spans="1:7">
      <c r="A996" s="377"/>
      <c r="B996" s="377"/>
      <c r="C996" s="377"/>
      <c r="D996" s="377"/>
      <c r="E996" s="377"/>
      <c r="F996" s="377"/>
      <c r="G996" s="377"/>
    </row>
  </sheetData>
  <sheetProtection algorithmName="SHA-512" hashValue="oagO+m/1WfakzNLVuEvH6FjLiq4G5x7jGNFalgIR8idSHDxDeq+PBuY/RLGEojIsxs1W8Y7tkHrg83akb7UPRA==" saltValue="l1fcFn1RXmKgSBYeIdI2yA==" spinCount="100000" sheet="1" objects="1" scenarios="1"/>
  <mergeCells count="27">
    <mergeCell ref="B132:D132"/>
    <mergeCell ref="F132:G132"/>
    <mergeCell ref="A135:G135"/>
    <mergeCell ref="B88:D88"/>
    <mergeCell ref="F88:G88"/>
    <mergeCell ref="B89:D89"/>
    <mergeCell ref="F89:G89"/>
    <mergeCell ref="B131:D131"/>
    <mergeCell ref="F131:G131"/>
    <mergeCell ref="A58:G58"/>
    <mergeCell ref="A63:G63"/>
    <mergeCell ref="A66:G66"/>
    <mergeCell ref="A67:G67"/>
    <mergeCell ref="A70:A72"/>
    <mergeCell ref="B70:B72"/>
    <mergeCell ref="C70:C72"/>
    <mergeCell ref="D70:F70"/>
    <mergeCell ref="G70:G72"/>
    <mergeCell ref="F71:F72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5F8FE-8D39-4DD2-B0E3-1BDA87B83A47}">
  <dimension ref="A1:J987"/>
  <sheetViews>
    <sheetView topLeftCell="A22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8" width="8.85546875" style="314"/>
    <col min="9" max="9" width="13.28515625" style="314" bestFit="1" customWidth="1"/>
    <col min="10" max="10" width="11.5703125" style="314" bestFit="1" customWidth="1"/>
    <col min="11" max="16384" width="8.85546875" style="314"/>
  </cols>
  <sheetData>
    <row r="1" spans="1:7" ht="18">
      <c r="A1" s="523" t="s">
        <v>13</v>
      </c>
      <c r="B1" s="315"/>
      <c r="C1" s="316"/>
      <c r="D1" s="316"/>
      <c r="E1" s="316"/>
      <c r="F1" s="315"/>
      <c r="G1" s="315"/>
    </row>
    <row r="2" spans="1:7" ht="21">
      <c r="A2" s="1259" t="s">
        <v>0</v>
      </c>
      <c r="B2" s="1236"/>
      <c r="C2" s="1236"/>
      <c r="D2" s="1236"/>
      <c r="E2" s="1236"/>
      <c r="F2" s="1236"/>
      <c r="G2" s="1236"/>
    </row>
    <row r="3" spans="1:7" ht="18">
      <c r="A3" s="1260" t="s">
        <v>14</v>
      </c>
      <c r="B3" s="1236"/>
      <c r="C3" s="1236"/>
      <c r="D3" s="1236"/>
      <c r="E3" s="1236"/>
      <c r="F3" s="1236"/>
      <c r="G3" s="1236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5" t="s">
        <v>553</v>
      </c>
      <c r="B5" s="315"/>
      <c r="C5" s="315"/>
      <c r="D5" s="315"/>
      <c r="E5" s="315"/>
      <c r="F5" s="315"/>
      <c r="G5" s="315"/>
    </row>
    <row r="6" spans="1:7" ht="16.5" thickTop="1" thickBot="1">
      <c r="A6" s="1261" t="s">
        <v>16</v>
      </c>
      <c r="B6" s="1261" t="s">
        <v>17</v>
      </c>
      <c r="C6" s="1262" t="s">
        <v>554</v>
      </c>
      <c r="D6" s="1263" t="s">
        <v>555</v>
      </c>
      <c r="E6" s="1242"/>
      <c r="F6" s="1243"/>
      <c r="G6" s="1228" t="s">
        <v>556</v>
      </c>
    </row>
    <row r="7" spans="1:7" ht="35.25" thickTop="1">
      <c r="A7" s="1234"/>
      <c r="B7" s="1234"/>
      <c r="C7" s="1234"/>
      <c r="D7" s="525" t="s">
        <v>21</v>
      </c>
      <c r="E7" s="525" t="s">
        <v>22</v>
      </c>
      <c r="F7" s="1261" t="s">
        <v>23</v>
      </c>
      <c r="G7" s="1234"/>
    </row>
    <row r="8" spans="1:7" ht="18">
      <c r="A8" s="1234"/>
      <c r="B8" s="1234"/>
      <c r="C8" s="1234"/>
      <c r="D8" s="526" t="s">
        <v>24</v>
      </c>
      <c r="E8" s="526" t="s">
        <v>25</v>
      </c>
      <c r="F8" s="1234"/>
      <c r="G8" s="1234"/>
    </row>
    <row r="9" spans="1:7" ht="18.75" thickBot="1">
      <c r="A9" s="527" t="s">
        <v>26</v>
      </c>
      <c r="B9" s="527" t="s">
        <v>27</v>
      </c>
      <c r="C9" s="528" t="s">
        <v>28</v>
      </c>
      <c r="D9" s="528" t="s">
        <v>29</v>
      </c>
      <c r="E9" s="528" t="s">
        <v>30</v>
      </c>
      <c r="F9" s="527" t="s">
        <v>31</v>
      </c>
      <c r="G9" s="527" t="s">
        <v>32</v>
      </c>
    </row>
    <row r="10" spans="1:7" ht="18.75" thickTop="1">
      <c r="A10" s="324" t="s">
        <v>33</v>
      </c>
      <c r="B10" s="326"/>
      <c r="C10" s="326"/>
      <c r="D10" s="326"/>
      <c r="E10" s="326"/>
      <c r="F10" s="326"/>
      <c r="G10" s="380"/>
    </row>
    <row r="11" spans="1:7" ht="18">
      <c r="A11" s="328" t="s">
        <v>34</v>
      </c>
      <c r="B11" s="748"/>
      <c r="C11" s="330"/>
      <c r="D11" s="330"/>
      <c r="E11" s="330"/>
      <c r="F11" s="330"/>
      <c r="G11" s="381"/>
    </row>
    <row r="12" spans="1:7" ht="18">
      <c r="A12" s="333" t="s">
        <v>35</v>
      </c>
      <c r="B12" s="335"/>
      <c r="C12" s="335"/>
      <c r="D12" s="335"/>
      <c r="E12" s="335"/>
      <c r="F12" s="335"/>
      <c r="G12" s="383"/>
    </row>
    <row r="13" spans="1:7" ht="18">
      <c r="A13" s="359" t="s">
        <v>36</v>
      </c>
      <c r="B13" s="435" t="s">
        <v>37</v>
      </c>
      <c r="C13" s="36">
        <v>8633302.9600000009</v>
      </c>
      <c r="D13" s="36">
        <v>4421537</v>
      </c>
      <c r="E13" s="36">
        <f t="shared" ref="E13:E14" si="0">F13-D13</f>
        <v>5291575</v>
      </c>
      <c r="F13" s="37">
        <v>9713112</v>
      </c>
      <c r="G13" s="37">
        <v>10405060</v>
      </c>
    </row>
    <row r="14" spans="1:7" ht="18">
      <c r="A14" s="359" t="s">
        <v>38</v>
      </c>
      <c r="B14" s="435" t="s">
        <v>39</v>
      </c>
      <c r="C14" s="36">
        <v>597408.9</v>
      </c>
      <c r="D14" s="36">
        <v>312000</v>
      </c>
      <c r="E14" s="36">
        <f t="shared" si="0"/>
        <v>312000</v>
      </c>
      <c r="F14" s="37">
        <v>624000</v>
      </c>
      <c r="G14" s="37">
        <v>660060</v>
      </c>
    </row>
    <row r="15" spans="1:7" ht="18">
      <c r="A15" s="333" t="s">
        <v>40</v>
      </c>
      <c r="B15" s="435"/>
      <c r="C15" s="36"/>
      <c r="D15" s="36"/>
      <c r="E15" s="36"/>
      <c r="F15" s="37"/>
      <c r="G15" s="37"/>
    </row>
    <row r="16" spans="1:7" ht="18">
      <c r="A16" s="359" t="s">
        <v>41</v>
      </c>
      <c r="B16" s="435" t="s">
        <v>42</v>
      </c>
      <c r="C16" s="36">
        <v>590272.75</v>
      </c>
      <c r="D16" s="36">
        <v>306000</v>
      </c>
      <c r="E16" s="36">
        <f t="shared" ref="E16:E24" si="1">F16-D16</f>
        <v>366000</v>
      </c>
      <c r="F16" s="37">
        <v>672000</v>
      </c>
      <c r="G16" s="37">
        <v>672000</v>
      </c>
    </row>
    <row r="17" spans="1:7" ht="18">
      <c r="A17" s="359" t="s">
        <v>43</v>
      </c>
      <c r="B17" s="435" t="s">
        <v>44</v>
      </c>
      <c r="C17" s="36">
        <v>191375</v>
      </c>
      <c r="D17" s="36">
        <v>87500</v>
      </c>
      <c r="E17" s="36">
        <f t="shared" si="1"/>
        <v>104500</v>
      </c>
      <c r="F17" s="37">
        <v>192000</v>
      </c>
      <c r="G17" s="37">
        <v>216000</v>
      </c>
    </row>
    <row r="18" spans="1:7" ht="18">
      <c r="A18" s="359" t="s">
        <v>45</v>
      </c>
      <c r="B18" s="435" t="s">
        <v>46</v>
      </c>
      <c r="C18" s="36">
        <v>191375</v>
      </c>
      <c r="D18" s="36">
        <v>87500</v>
      </c>
      <c r="E18" s="36">
        <f t="shared" si="1"/>
        <v>104500</v>
      </c>
      <c r="F18" s="37">
        <v>192000</v>
      </c>
      <c r="G18" s="37">
        <v>216000</v>
      </c>
    </row>
    <row r="19" spans="1:7" ht="18">
      <c r="A19" s="359" t="s">
        <v>47</v>
      </c>
      <c r="B19" s="435" t="s">
        <v>48</v>
      </c>
      <c r="C19" s="36">
        <v>150000</v>
      </c>
      <c r="D19" s="38">
        <v>150000</v>
      </c>
      <c r="E19" s="36">
        <f t="shared" si="1"/>
        <v>18000</v>
      </c>
      <c r="F19" s="37">
        <v>168000</v>
      </c>
      <c r="G19" s="37">
        <v>196000</v>
      </c>
    </row>
    <row r="20" spans="1:7" ht="18">
      <c r="A20" s="359" t="s">
        <v>49</v>
      </c>
      <c r="B20" s="360" t="s">
        <v>50</v>
      </c>
      <c r="C20" s="38">
        <v>126000</v>
      </c>
      <c r="D20" s="38">
        <v>0</v>
      </c>
      <c r="E20" s="36">
        <f t="shared" si="1"/>
        <v>140000</v>
      </c>
      <c r="F20" s="37">
        <v>140000</v>
      </c>
      <c r="G20" s="37">
        <v>140000</v>
      </c>
    </row>
    <row r="21" spans="1:7" ht="18">
      <c r="A21" s="359" t="s">
        <v>51</v>
      </c>
      <c r="B21" s="360" t="s">
        <v>52</v>
      </c>
      <c r="C21" s="38">
        <v>1000000</v>
      </c>
      <c r="D21" s="40">
        <v>555363.1</v>
      </c>
      <c r="E21" s="36">
        <f t="shared" si="1"/>
        <v>594636.9</v>
      </c>
      <c r="F21" s="37">
        <v>1150000</v>
      </c>
      <c r="G21" s="37">
        <v>1150000</v>
      </c>
    </row>
    <row r="22" spans="1:7" ht="18">
      <c r="A22" s="359" t="s">
        <v>53</v>
      </c>
      <c r="B22" s="435" t="s">
        <v>54</v>
      </c>
      <c r="C22" s="36">
        <v>733394</v>
      </c>
      <c r="D22" s="38">
        <v>0</v>
      </c>
      <c r="E22" s="36">
        <f t="shared" si="1"/>
        <v>861426</v>
      </c>
      <c r="F22" s="37">
        <v>861426</v>
      </c>
      <c r="G22" s="37">
        <v>945527</v>
      </c>
    </row>
    <row r="23" spans="1:7" ht="18">
      <c r="A23" s="359" t="s">
        <v>55</v>
      </c>
      <c r="B23" s="435" t="s">
        <v>56</v>
      </c>
      <c r="C23" s="36">
        <v>125000</v>
      </c>
      <c r="D23" s="38">
        <v>0</v>
      </c>
      <c r="E23" s="36">
        <f t="shared" si="1"/>
        <v>140000</v>
      </c>
      <c r="F23" s="37">
        <v>140000</v>
      </c>
      <c r="G23" s="37">
        <v>140000</v>
      </c>
    </row>
    <row r="24" spans="1:7" ht="18">
      <c r="A24" s="359" t="s">
        <v>57</v>
      </c>
      <c r="B24" s="435" t="s">
        <v>58</v>
      </c>
      <c r="C24" s="36">
        <v>659037</v>
      </c>
      <c r="D24" s="36">
        <v>707432</v>
      </c>
      <c r="E24" s="36">
        <f t="shared" si="1"/>
        <v>153994</v>
      </c>
      <c r="F24" s="37">
        <v>861426</v>
      </c>
      <c r="G24" s="37">
        <v>905355</v>
      </c>
    </row>
    <row r="25" spans="1:7" ht="18">
      <c r="A25" s="359" t="s">
        <v>557</v>
      </c>
      <c r="B25" s="435" t="s">
        <v>58</v>
      </c>
      <c r="C25" s="36">
        <v>0</v>
      </c>
      <c r="D25" s="36">
        <v>0</v>
      </c>
      <c r="E25" s="36">
        <v>0</v>
      </c>
      <c r="F25" s="37">
        <v>0</v>
      </c>
      <c r="G25" s="37">
        <v>196000</v>
      </c>
    </row>
    <row r="26" spans="1:7" ht="18">
      <c r="A26" s="333" t="s">
        <v>59</v>
      </c>
      <c r="B26" s="435"/>
      <c r="C26" s="36"/>
      <c r="D26" s="36"/>
      <c r="E26" s="36"/>
      <c r="F26" s="37"/>
      <c r="G26" s="37"/>
    </row>
    <row r="27" spans="1:7" ht="18">
      <c r="A27" s="359" t="s">
        <v>60</v>
      </c>
      <c r="B27" s="435" t="s">
        <v>61</v>
      </c>
      <c r="C27" s="36">
        <v>1033967.33</v>
      </c>
      <c r="D27" s="36">
        <v>568024.43999999994</v>
      </c>
      <c r="E27" s="36">
        <f t="shared" ref="E27:E30" si="2">F27-D27</f>
        <v>672429</v>
      </c>
      <c r="F27" s="37">
        <v>1240453.44</v>
      </c>
      <c r="G27" s="37">
        <v>1327814.3999999999</v>
      </c>
    </row>
    <row r="28" spans="1:7" ht="18">
      <c r="A28" s="359" t="s">
        <v>62</v>
      </c>
      <c r="B28" s="435" t="s">
        <v>63</v>
      </c>
      <c r="C28" s="36">
        <v>29700</v>
      </c>
      <c r="D28" s="36">
        <v>28000</v>
      </c>
      <c r="E28" s="36">
        <f t="shared" si="2"/>
        <v>5600</v>
      </c>
      <c r="F28" s="37">
        <v>33600</v>
      </c>
      <c r="G28" s="37">
        <v>67200</v>
      </c>
    </row>
    <row r="29" spans="1:7" ht="18">
      <c r="A29" s="359" t="s">
        <v>64</v>
      </c>
      <c r="B29" s="435" t="s">
        <v>65</v>
      </c>
      <c r="C29" s="36">
        <v>166732.35</v>
      </c>
      <c r="D29" s="41">
        <v>125207.9</v>
      </c>
      <c r="E29" s="36">
        <f t="shared" si="2"/>
        <v>100325.38</v>
      </c>
      <c r="F29" s="37">
        <v>225533.28</v>
      </c>
      <c r="G29" s="37">
        <v>269645.95</v>
      </c>
    </row>
    <row r="30" spans="1:7" ht="18">
      <c r="A30" s="899" t="s">
        <v>66</v>
      </c>
      <c r="B30" s="900" t="s">
        <v>67</v>
      </c>
      <c r="C30" s="41">
        <v>29500</v>
      </c>
      <c r="D30" s="44">
        <v>15300</v>
      </c>
      <c r="E30" s="41">
        <f t="shared" si="2"/>
        <v>18300</v>
      </c>
      <c r="F30" s="45">
        <v>33600</v>
      </c>
      <c r="G30" s="45">
        <v>67200</v>
      </c>
    </row>
    <row r="31" spans="1:7" ht="18">
      <c r="A31" s="901" t="s">
        <v>68</v>
      </c>
      <c r="B31" s="582"/>
      <c r="C31" s="44"/>
      <c r="D31" s="44"/>
      <c r="E31" s="44"/>
      <c r="F31" s="46"/>
      <c r="G31" s="46"/>
    </row>
    <row r="32" spans="1:7" ht="18.75" thickBot="1">
      <c r="A32" s="902" t="s">
        <v>558</v>
      </c>
      <c r="B32" s="584" t="s">
        <v>520</v>
      </c>
      <c r="C32" s="47">
        <v>0</v>
      </c>
      <c r="D32" s="48"/>
      <c r="E32" s="47">
        <v>0</v>
      </c>
      <c r="F32" s="49">
        <v>0</v>
      </c>
      <c r="G32" s="49">
        <v>444381.67</v>
      </c>
    </row>
    <row r="33" spans="1:10" ht="19.5" thickTop="1" thickBot="1">
      <c r="A33" s="351" t="s">
        <v>71</v>
      </c>
      <c r="B33" s="352"/>
      <c r="C33" s="52">
        <f>SUM(C13:C32)</f>
        <v>14257065.290000001</v>
      </c>
      <c r="D33" s="52">
        <f>SUM(D13:D32)</f>
        <v>7363864.4399999995</v>
      </c>
      <c r="E33" s="52">
        <f>SUM(E13:E32)</f>
        <v>8883286.2800000012</v>
      </c>
      <c r="F33" s="52">
        <f>SUM(F13:F32)</f>
        <v>16247150.719999999</v>
      </c>
      <c r="G33" s="52">
        <f>SUM(G13:G32)</f>
        <v>18018244.02</v>
      </c>
      <c r="I33" s="558"/>
    </row>
    <row r="34" spans="1:10" ht="18.75" thickTop="1">
      <c r="A34" s="355" t="s">
        <v>72</v>
      </c>
      <c r="B34" s="356"/>
      <c r="C34" s="427"/>
      <c r="D34" s="427"/>
      <c r="E34" s="427"/>
      <c r="F34" s="428"/>
      <c r="G34" s="864"/>
    </row>
    <row r="35" spans="1:10" ht="18">
      <c r="A35" s="359" t="s">
        <v>75</v>
      </c>
      <c r="B35" s="356" t="s">
        <v>76</v>
      </c>
      <c r="C35" s="55">
        <v>100000</v>
      </c>
      <c r="D35" s="55">
        <v>0</v>
      </c>
      <c r="E35" s="36">
        <f t="shared" ref="E35:E38" si="3">F35-D35</f>
        <v>200000</v>
      </c>
      <c r="F35" s="37">
        <v>200000</v>
      </c>
      <c r="G35" s="37">
        <v>100000</v>
      </c>
    </row>
    <row r="36" spans="1:10" ht="18">
      <c r="A36" s="359" t="s">
        <v>77</v>
      </c>
      <c r="B36" s="360" t="s">
        <v>78</v>
      </c>
      <c r="C36" s="55">
        <v>109665.9</v>
      </c>
      <c r="D36" s="55">
        <v>107542</v>
      </c>
      <c r="E36" s="36">
        <f t="shared" si="3"/>
        <v>182458</v>
      </c>
      <c r="F36" s="37">
        <v>290000</v>
      </c>
      <c r="G36" s="37">
        <v>220000</v>
      </c>
    </row>
    <row r="37" spans="1:10" ht="18">
      <c r="A37" s="359" t="s">
        <v>81</v>
      </c>
      <c r="B37" s="360" t="s">
        <v>82</v>
      </c>
      <c r="C37" s="55">
        <v>39390.5</v>
      </c>
      <c r="D37" s="55">
        <v>0</v>
      </c>
      <c r="E37" s="36">
        <f t="shared" si="3"/>
        <v>79000</v>
      </c>
      <c r="F37" s="37">
        <v>79000</v>
      </c>
      <c r="G37" s="37">
        <v>128850</v>
      </c>
    </row>
    <row r="38" spans="1:10" ht="18">
      <c r="A38" s="359" t="s">
        <v>83</v>
      </c>
      <c r="B38" s="360" t="s">
        <v>84</v>
      </c>
      <c r="C38" s="55">
        <v>60000</v>
      </c>
      <c r="D38" s="56">
        <v>25000</v>
      </c>
      <c r="E38" s="36">
        <f t="shared" si="3"/>
        <v>35000</v>
      </c>
      <c r="F38" s="37">
        <v>60000</v>
      </c>
      <c r="G38" s="37">
        <v>60000</v>
      </c>
    </row>
    <row r="39" spans="1:10" ht="18">
      <c r="A39" s="359"/>
      <c r="B39" s="360"/>
      <c r="C39" s="55"/>
      <c r="D39" s="55"/>
      <c r="E39" s="36"/>
      <c r="F39" s="57"/>
      <c r="G39" s="57"/>
    </row>
    <row r="40" spans="1:10" ht="18.75" thickBot="1">
      <c r="A40" s="359"/>
      <c r="B40" s="360"/>
      <c r="C40" s="55"/>
      <c r="D40" s="55"/>
      <c r="E40" s="36"/>
      <c r="F40" s="57"/>
      <c r="G40" s="57"/>
    </row>
    <row r="41" spans="1:10" ht="19.5" thickTop="1" thickBot="1">
      <c r="A41" s="351" t="s">
        <v>162</v>
      </c>
      <c r="B41" s="367"/>
      <c r="C41" s="59">
        <f>SUM(C35:C40)</f>
        <v>309056.40000000002</v>
      </c>
      <c r="D41" s="52">
        <f>SUM(D35:D40)</f>
        <v>132542</v>
      </c>
      <c r="E41" s="52">
        <f>SUM(E35:E40)</f>
        <v>496458</v>
      </c>
      <c r="F41" s="52">
        <f>SUM(F35:F40)</f>
        <v>629000</v>
      </c>
      <c r="G41" s="52">
        <f>SUM(G35:G40)</f>
        <v>508850</v>
      </c>
      <c r="I41" s="558"/>
      <c r="J41" s="558"/>
    </row>
    <row r="42" spans="1:10" ht="19.5" thickTop="1" thickBot="1">
      <c r="A42" s="351" t="s">
        <v>181</v>
      </c>
      <c r="B42" s="367"/>
      <c r="C42" s="52">
        <f t="shared" ref="C42:F42" si="4">C33+C41</f>
        <v>14566121.690000001</v>
      </c>
      <c r="D42" s="52">
        <f t="shared" si="4"/>
        <v>7496406.4399999995</v>
      </c>
      <c r="E42" s="52">
        <f t="shared" si="4"/>
        <v>9379744.2800000012</v>
      </c>
      <c r="F42" s="52">
        <f t="shared" si="4"/>
        <v>16876150.719999999</v>
      </c>
      <c r="G42" s="52">
        <f>G33+G41</f>
        <v>18527094.02</v>
      </c>
    </row>
    <row r="43" spans="1:10" ht="18.75" thickTop="1">
      <c r="A43" s="317"/>
      <c r="B43" s="317"/>
      <c r="C43" s="317"/>
      <c r="D43" s="317"/>
      <c r="E43" s="317"/>
      <c r="F43" s="317"/>
      <c r="G43" s="317"/>
    </row>
    <row r="44" spans="1:10" ht="18">
      <c r="A44" s="317"/>
      <c r="B44" s="317"/>
      <c r="C44" s="317"/>
      <c r="D44" s="317"/>
      <c r="E44" s="317"/>
      <c r="F44" s="317"/>
      <c r="G44" s="317"/>
    </row>
    <row r="45" spans="1:10" ht="18">
      <c r="A45" s="317"/>
      <c r="B45" s="317"/>
      <c r="C45" s="317"/>
      <c r="D45" s="317"/>
      <c r="E45" s="317"/>
      <c r="F45" s="317"/>
      <c r="G45" s="317"/>
    </row>
    <row r="46" spans="1:10" ht="18">
      <c r="A46" s="317"/>
      <c r="B46" s="317"/>
      <c r="C46" s="317"/>
      <c r="D46" s="317"/>
      <c r="E46" s="317"/>
      <c r="F46" s="317"/>
      <c r="G46" s="317"/>
    </row>
    <row r="47" spans="1:10" ht="18">
      <c r="A47" s="317"/>
      <c r="B47" s="317"/>
      <c r="C47" s="317"/>
      <c r="D47" s="317"/>
      <c r="E47" s="317"/>
      <c r="F47" s="317"/>
      <c r="G47" s="317"/>
    </row>
    <row r="48" spans="1:10" ht="18">
      <c r="A48" s="309"/>
      <c r="B48" s="1239"/>
      <c r="C48" s="1236"/>
      <c r="D48" s="1236"/>
      <c r="E48" s="369"/>
      <c r="F48" s="1264"/>
      <c r="G48" s="1236"/>
    </row>
    <row r="49" spans="1:7" ht="18">
      <c r="A49" s="371"/>
      <c r="B49" s="1235"/>
      <c r="C49" s="1236"/>
      <c r="D49" s="1236"/>
      <c r="E49" s="372"/>
      <c r="F49" s="1265"/>
      <c r="G49" s="1236"/>
    </row>
    <row r="50" spans="1:7" ht="18">
      <c r="A50" s="317"/>
      <c r="B50" s="317"/>
      <c r="C50" s="317"/>
      <c r="D50" s="317"/>
      <c r="E50" s="317"/>
      <c r="F50" s="317"/>
      <c r="G50" s="317"/>
    </row>
    <row r="51" spans="1:7" ht="18">
      <c r="A51" s="317"/>
      <c r="B51" s="317"/>
      <c r="C51" s="317"/>
      <c r="D51" s="317"/>
      <c r="E51" s="317"/>
      <c r="F51" s="317"/>
      <c r="G51" s="317"/>
    </row>
    <row r="52" spans="1:7" ht="18.75">
      <c r="A52" s="903"/>
      <c r="B52" s="377"/>
      <c r="C52" s="377"/>
      <c r="D52" s="377"/>
      <c r="E52" s="377"/>
      <c r="F52" s="377"/>
      <c r="G52" s="377"/>
    </row>
    <row r="53" spans="1:7" ht="18">
      <c r="A53" s="317"/>
      <c r="B53" s="317"/>
      <c r="C53" s="317"/>
      <c r="D53" s="317"/>
      <c r="E53" s="317"/>
      <c r="F53" s="317"/>
      <c r="G53" s="317"/>
    </row>
    <row r="54" spans="1:7" ht="18">
      <c r="A54" s="317"/>
      <c r="B54" s="317"/>
      <c r="C54" s="317"/>
      <c r="D54" s="317"/>
      <c r="E54" s="317"/>
      <c r="F54" s="317"/>
      <c r="G54" s="317"/>
    </row>
    <row r="55" spans="1:7" ht="18">
      <c r="A55" s="317"/>
      <c r="B55" s="317"/>
      <c r="C55" s="317"/>
      <c r="D55" s="317"/>
      <c r="E55" s="317"/>
      <c r="F55" s="317"/>
      <c r="G55" s="317"/>
    </row>
    <row r="56" spans="1:7" ht="18">
      <c r="A56" s="317"/>
      <c r="B56" s="317"/>
      <c r="C56" s="317"/>
      <c r="D56" s="317"/>
      <c r="E56" s="317"/>
      <c r="F56" s="317"/>
      <c r="G56" s="317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/>
      <c r="B58" s="317"/>
      <c r="C58" s="317"/>
      <c r="D58" s="317"/>
      <c r="E58" s="317"/>
      <c r="F58" s="317"/>
      <c r="G58" s="317"/>
    </row>
    <row r="59" spans="1:7" ht="18">
      <c r="A59" s="317"/>
      <c r="B59" s="317"/>
      <c r="C59" s="317"/>
      <c r="D59" s="317"/>
      <c r="E59" s="317"/>
      <c r="F59" s="317"/>
      <c r="G59" s="317"/>
    </row>
    <row r="60" spans="1:7" ht="18">
      <c r="A60" s="317"/>
      <c r="B60" s="317"/>
      <c r="C60" s="317"/>
      <c r="D60" s="317"/>
      <c r="E60" s="317"/>
      <c r="F60" s="317"/>
      <c r="G60" s="317"/>
    </row>
    <row r="61" spans="1:7" ht="18">
      <c r="A61" s="317"/>
      <c r="B61" s="317"/>
      <c r="C61" s="317"/>
      <c r="D61" s="317"/>
      <c r="E61" s="317"/>
      <c r="F61" s="317"/>
      <c r="G61" s="317"/>
    </row>
    <row r="62" spans="1:7" ht="18">
      <c r="A62" s="317" t="s">
        <v>183</v>
      </c>
      <c r="B62" s="317" t="s">
        <v>184</v>
      </c>
      <c r="C62" s="317"/>
      <c r="D62" s="317"/>
      <c r="E62" s="317"/>
      <c r="F62" s="317" t="s">
        <v>185</v>
      </c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8">
      <c r="A64" s="317"/>
      <c r="B64" s="317"/>
      <c r="C64" s="317"/>
      <c r="D64" s="317"/>
      <c r="E64" s="317"/>
      <c r="F64" s="317"/>
      <c r="G64" s="317"/>
    </row>
    <row r="65" spans="1:7" ht="18">
      <c r="A65" s="317"/>
      <c r="B65" s="317"/>
      <c r="C65" s="317"/>
      <c r="D65" s="317"/>
      <c r="E65" s="317"/>
      <c r="F65" s="317"/>
      <c r="G65" s="31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17"/>
      <c r="B68" s="317"/>
      <c r="C68" s="317"/>
      <c r="D68" s="317"/>
      <c r="E68" s="317"/>
      <c r="F68" s="317"/>
      <c r="G68" s="317"/>
    </row>
    <row r="69" spans="1:7" ht="18">
      <c r="A69" s="309" t="s">
        <v>559</v>
      </c>
      <c r="B69" s="1239" t="s">
        <v>187</v>
      </c>
      <c r="C69" s="1236"/>
      <c r="D69" s="1236"/>
      <c r="E69" s="369"/>
      <c r="F69" s="1264" t="s">
        <v>188</v>
      </c>
      <c r="G69" s="1236"/>
    </row>
    <row r="70" spans="1:7" ht="18">
      <c r="A70" s="371" t="s">
        <v>398</v>
      </c>
      <c r="B70" s="1235" t="s">
        <v>190</v>
      </c>
      <c r="C70" s="1236"/>
      <c r="D70" s="1236"/>
      <c r="E70" s="372"/>
      <c r="F70" s="1265" t="s">
        <v>191</v>
      </c>
      <c r="G70" s="1236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8">
      <c r="A72" s="317"/>
      <c r="B72" s="317"/>
      <c r="C72" s="317"/>
      <c r="D72" s="317"/>
      <c r="E72" s="317"/>
      <c r="F72" s="317"/>
      <c r="G72" s="317"/>
    </row>
    <row r="73" spans="1:7" ht="16.5">
      <c r="A73" s="1238" t="s">
        <v>194</v>
      </c>
      <c r="B73" s="1238"/>
      <c r="C73" s="1238"/>
      <c r="D73" s="1238"/>
      <c r="E73" s="1238"/>
      <c r="F73" s="1238"/>
      <c r="G73" s="1238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>
      <c r="A237" s="377"/>
      <c r="B237" s="377"/>
      <c r="C237" s="377"/>
      <c r="D237" s="377"/>
      <c r="E237" s="377"/>
      <c r="F237" s="377"/>
      <c r="G237" s="377"/>
    </row>
    <row r="238" spans="1:7">
      <c r="A238" s="377"/>
      <c r="B238" s="377"/>
      <c r="C238" s="377"/>
      <c r="D238" s="377"/>
      <c r="E238" s="377"/>
      <c r="F238" s="377"/>
      <c r="G238" s="377"/>
    </row>
    <row r="239" spans="1:7">
      <c r="A239" s="377"/>
      <c r="B239" s="377"/>
      <c r="C239" s="377"/>
      <c r="D239" s="377"/>
      <c r="E239" s="377"/>
      <c r="F239" s="377"/>
      <c r="G239" s="377"/>
    </row>
    <row r="240" spans="1:7">
      <c r="A240" s="377"/>
      <c r="B240" s="377"/>
      <c r="C240" s="377"/>
      <c r="D240" s="377"/>
      <c r="E240" s="377"/>
      <c r="F240" s="377"/>
      <c r="G240" s="377"/>
    </row>
    <row r="241" spans="1:7">
      <c r="A241" s="377"/>
      <c r="B241" s="377"/>
      <c r="C241" s="377"/>
      <c r="D241" s="377"/>
      <c r="E241" s="377"/>
      <c r="F241" s="377"/>
      <c r="G241" s="377"/>
    </row>
    <row r="242" spans="1:7">
      <c r="A242" s="377"/>
      <c r="B242" s="377"/>
      <c r="C242" s="377"/>
      <c r="D242" s="377"/>
      <c r="E242" s="377"/>
      <c r="F242" s="377"/>
      <c r="G242" s="377"/>
    </row>
    <row r="243" spans="1:7">
      <c r="A243" s="377"/>
      <c r="B243" s="377"/>
      <c r="C243" s="377"/>
      <c r="D243" s="377"/>
      <c r="E243" s="377"/>
      <c r="F243" s="377"/>
      <c r="G243" s="377"/>
    </row>
    <row r="244" spans="1:7">
      <c r="A244" s="377"/>
      <c r="B244" s="377"/>
      <c r="C244" s="377"/>
      <c r="D244" s="377"/>
      <c r="E244" s="377"/>
      <c r="F244" s="377"/>
      <c r="G244" s="377"/>
    </row>
    <row r="245" spans="1:7">
      <c r="A245" s="377"/>
      <c r="B245" s="377"/>
      <c r="C245" s="377"/>
      <c r="D245" s="377"/>
      <c r="E245" s="377"/>
      <c r="F245" s="377"/>
      <c r="G245" s="377"/>
    </row>
    <row r="246" spans="1:7">
      <c r="A246" s="377"/>
      <c r="B246" s="377"/>
      <c r="C246" s="377"/>
      <c r="D246" s="377"/>
      <c r="E246" s="377"/>
      <c r="F246" s="377"/>
      <c r="G246" s="377"/>
    </row>
    <row r="247" spans="1:7">
      <c r="A247" s="377"/>
      <c r="B247" s="377"/>
      <c r="C247" s="377"/>
      <c r="D247" s="377"/>
      <c r="E247" s="377"/>
      <c r="F247" s="377"/>
      <c r="G247" s="377"/>
    </row>
    <row r="248" spans="1:7">
      <c r="A248" s="377"/>
      <c r="B248" s="377"/>
      <c r="C248" s="377"/>
      <c r="D248" s="377"/>
      <c r="E248" s="377"/>
      <c r="F248" s="377"/>
      <c r="G248" s="377"/>
    </row>
    <row r="249" spans="1:7">
      <c r="A249" s="377"/>
      <c r="B249" s="377"/>
      <c r="C249" s="377"/>
      <c r="D249" s="377"/>
      <c r="E249" s="377"/>
      <c r="F249" s="377"/>
      <c r="G249" s="377"/>
    </row>
    <row r="250" spans="1:7">
      <c r="A250" s="377"/>
      <c r="B250" s="377"/>
      <c r="C250" s="377"/>
      <c r="D250" s="377"/>
      <c r="E250" s="377"/>
      <c r="F250" s="377"/>
      <c r="G250" s="377"/>
    </row>
    <row r="251" spans="1:7">
      <c r="A251" s="377"/>
      <c r="B251" s="377"/>
      <c r="C251" s="377"/>
      <c r="D251" s="377"/>
      <c r="E251" s="377"/>
      <c r="F251" s="377"/>
      <c r="G251" s="377"/>
    </row>
    <row r="252" spans="1:7">
      <c r="A252" s="377"/>
      <c r="B252" s="377"/>
      <c r="C252" s="377"/>
      <c r="D252" s="377"/>
      <c r="E252" s="377"/>
      <c r="F252" s="377"/>
      <c r="G252" s="37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</sheetData>
  <sheetProtection algorithmName="SHA-512" hashValue="1myB6q3GE7iu2yp2VhNEVxKoth8iqyJHFLpOo47TrXOQxTDa93zhHWboLugFL5BMkCPqXQ+eJP32zXvdxWmZ3A==" saltValue="68yuw1uzAA2nt2267oVnLA==" spinCount="100000" sheet="1" objects="1" scenarios="1"/>
  <mergeCells count="17">
    <mergeCell ref="B70:D70"/>
    <mergeCell ref="F70:G70"/>
    <mergeCell ref="A73:G73"/>
    <mergeCell ref="B48:D48"/>
    <mergeCell ref="F48:G48"/>
    <mergeCell ref="B49:D49"/>
    <mergeCell ref="F49:G49"/>
    <mergeCell ref="B69:D69"/>
    <mergeCell ref="F69:G69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2E651-BCED-4123-8E30-F990971B62BF}">
  <dimension ref="A1:J992"/>
  <sheetViews>
    <sheetView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6" width="16.5703125" style="314" customWidth="1"/>
    <col min="7" max="7" width="17.28515625" style="314" customWidth="1"/>
    <col min="8" max="8" width="8.85546875" style="314"/>
    <col min="9" max="9" width="11.28515625" style="314" bestFit="1" customWidth="1"/>
    <col min="10" max="10" width="12.7109375" style="314" bestFit="1" customWidth="1"/>
    <col min="11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5" t="s">
        <v>605</v>
      </c>
      <c r="B5" s="315"/>
      <c r="C5" s="315"/>
      <c r="D5" s="396"/>
      <c r="E5" s="315"/>
      <c r="F5" s="315"/>
      <c r="G5" s="315"/>
    </row>
    <row r="6" spans="1:7" ht="16.5" thickTop="1" thickBot="1">
      <c r="A6" s="1228" t="s">
        <v>16</v>
      </c>
      <c r="B6" s="1228" t="s">
        <v>17</v>
      </c>
      <c r="C6" s="1230" t="s">
        <v>606</v>
      </c>
      <c r="D6" s="1231" t="s">
        <v>574</v>
      </c>
      <c r="E6" s="1242"/>
      <c r="F6" s="1243"/>
      <c r="G6" s="1228" t="s">
        <v>556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6"/>
      <c r="C10" s="326"/>
      <c r="D10" s="326"/>
      <c r="E10" s="326"/>
      <c r="F10" s="326"/>
      <c r="G10" s="380"/>
    </row>
    <row r="11" spans="1:7" ht="18">
      <c r="A11" s="328" t="s">
        <v>34</v>
      </c>
      <c r="B11" s="748"/>
      <c r="C11" s="330"/>
      <c r="D11" s="330"/>
      <c r="E11" s="330"/>
      <c r="F11" s="330"/>
      <c r="G11" s="381"/>
    </row>
    <row r="12" spans="1:7" ht="18">
      <c r="A12" s="333" t="s">
        <v>35</v>
      </c>
      <c r="B12" s="335"/>
      <c r="C12" s="335"/>
      <c r="D12" s="335"/>
      <c r="E12" s="335"/>
      <c r="F12" s="335"/>
      <c r="G12" s="383"/>
    </row>
    <row r="13" spans="1:7" ht="18">
      <c r="A13" s="338" t="s">
        <v>36</v>
      </c>
      <c r="B13" s="425" t="s">
        <v>37</v>
      </c>
      <c r="C13" s="36">
        <v>4377453.9000000004</v>
      </c>
      <c r="D13" s="36">
        <v>2490360.5</v>
      </c>
      <c r="E13" s="36">
        <f t="shared" ref="E13:E14" si="0">F13-D13</f>
        <v>3781631.5</v>
      </c>
      <c r="F13" s="37">
        <v>6271992</v>
      </c>
      <c r="G13" s="37">
        <v>6667776</v>
      </c>
    </row>
    <row r="14" spans="1:7" ht="18">
      <c r="A14" s="338" t="s">
        <v>216</v>
      </c>
      <c r="B14" s="425" t="s">
        <v>39</v>
      </c>
      <c r="C14" s="36">
        <v>1625698.91</v>
      </c>
      <c r="D14" s="36">
        <v>1150039.95</v>
      </c>
      <c r="E14" s="36">
        <f t="shared" si="0"/>
        <v>1309852.05</v>
      </c>
      <c r="F14" s="211">
        <v>2459892</v>
      </c>
      <c r="G14" s="211">
        <v>5079615</v>
      </c>
    </row>
    <row r="15" spans="1:7" ht="18">
      <c r="A15" s="333" t="s">
        <v>40</v>
      </c>
      <c r="B15" s="435"/>
      <c r="C15" s="36"/>
      <c r="D15" s="36"/>
      <c r="E15" s="36"/>
      <c r="F15" s="37"/>
      <c r="G15" s="37"/>
    </row>
    <row r="16" spans="1:7" ht="18">
      <c r="A16" s="338" t="s">
        <v>41</v>
      </c>
      <c r="B16" s="425" t="s">
        <v>42</v>
      </c>
      <c r="C16" s="36">
        <v>254545.51</v>
      </c>
      <c r="D16" s="36">
        <v>163818.21</v>
      </c>
      <c r="E16" s="36">
        <f t="shared" ref="E16:E19" si="1">F16-D16</f>
        <v>268181.79000000004</v>
      </c>
      <c r="F16" s="37">
        <v>432000</v>
      </c>
      <c r="G16" s="37">
        <v>504000</v>
      </c>
    </row>
    <row r="17" spans="1:7" ht="18">
      <c r="A17" s="338" t="s">
        <v>43</v>
      </c>
      <c r="B17" s="425" t="s">
        <v>44</v>
      </c>
      <c r="C17" s="36">
        <v>192000</v>
      </c>
      <c r="D17" s="36">
        <v>96000</v>
      </c>
      <c r="E17" s="36">
        <f t="shared" si="1"/>
        <v>96000</v>
      </c>
      <c r="F17" s="37">
        <v>192000</v>
      </c>
      <c r="G17" s="37">
        <v>216000</v>
      </c>
    </row>
    <row r="18" spans="1:7" ht="18">
      <c r="A18" s="338" t="s">
        <v>45</v>
      </c>
      <c r="B18" s="425" t="s">
        <v>46</v>
      </c>
      <c r="C18" s="36">
        <v>192000</v>
      </c>
      <c r="D18" s="36">
        <v>96000</v>
      </c>
      <c r="E18" s="36">
        <f t="shared" si="1"/>
        <v>96000</v>
      </c>
      <c r="F18" s="37">
        <v>192000</v>
      </c>
      <c r="G18" s="37">
        <v>216000</v>
      </c>
    </row>
    <row r="19" spans="1:7" ht="18">
      <c r="A19" s="338" t="s">
        <v>47</v>
      </c>
      <c r="B19" s="425" t="s">
        <v>48</v>
      </c>
      <c r="C19" s="36">
        <v>54000</v>
      </c>
      <c r="D19" s="38">
        <v>72000</v>
      </c>
      <c r="E19" s="36">
        <f t="shared" si="1"/>
        <v>36000</v>
      </c>
      <c r="F19" s="37">
        <v>108000</v>
      </c>
      <c r="G19" s="37">
        <v>147000</v>
      </c>
    </row>
    <row r="20" spans="1:7" ht="18">
      <c r="A20" s="338" t="s">
        <v>49</v>
      </c>
      <c r="B20" s="339" t="s">
        <v>50</v>
      </c>
      <c r="C20" s="66">
        <v>56000</v>
      </c>
      <c r="D20" s="66">
        <v>0</v>
      </c>
      <c r="E20" s="66">
        <v>75000</v>
      </c>
      <c r="F20" s="37">
        <v>90000</v>
      </c>
      <c r="G20" s="37">
        <v>105000</v>
      </c>
    </row>
    <row r="21" spans="1:7" ht="18">
      <c r="A21" s="434" t="s">
        <v>399</v>
      </c>
      <c r="B21" s="425" t="s">
        <v>269</v>
      </c>
      <c r="C21" s="36">
        <v>179200</v>
      </c>
      <c r="D21" s="36"/>
      <c r="E21" s="36">
        <f t="shared" ref="E21:E25" si="2">F21-D21</f>
        <v>408000</v>
      </c>
      <c r="F21" s="37">
        <v>408000</v>
      </c>
      <c r="G21" s="37">
        <v>408000</v>
      </c>
    </row>
    <row r="22" spans="1:7" ht="18">
      <c r="A22" s="338" t="s">
        <v>53</v>
      </c>
      <c r="B22" s="425" t="s">
        <v>54</v>
      </c>
      <c r="C22" s="36">
        <v>389443</v>
      </c>
      <c r="D22" s="38">
        <v>0</v>
      </c>
      <c r="E22" s="36">
        <f t="shared" si="2"/>
        <v>727657</v>
      </c>
      <c r="F22" s="211">
        <v>727657</v>
      </c>
      <c r="G22" s="211">
        <v>1003367</v>
      </c>
    </row>
    <row r="23" spans="1:7" ht="18">
      <c r="A23" s="338" t="s">
        <v>55</v>
      </c>
      <c r="B23" s="425" t="s">
        <v>56</v>
      </c>
      <c r="C23" s="36">
        <v>51000</v>
      </c>
      <c r="D23" s="38">
        <v>0</v>
      </c>
      <c r="E23" s="36">
        <f t="shared" si="2"/>
        <v>90000</v>
      </c>
      <c r="F23" s="37">
        <v>90000</v>
      </c>
      <c r="G23" s="37">
        <v>105000</v>
      </c>
    </row>
    <row r="24" spans="1:7" ht="18">
      <c r="A24" s="338" t="s">
        <v>57</v>
      </c>
      <c r="B24" s="425" t="s">
        <v>58</v>
      </c>
      <c r="C24" s="36">
        <v>286264</v>
      </c>
      <c r="D24" s="36">
        <v>606388</v>
      </c>
      <c r="E24" s="36">
        <f t="shared" si="2"/>
        <v>121269</v>
      </c>
      <c r="F24" s="212">
        <v>727657</v>
      </c>
      <c r="G24" s="213">
        <v>961508</v>
      </c>
    </row>
    <row r="25" spans="1:7" ht="18">
      <c r="A25" s="338" t="s">
        <v>557</v>
      </c>
      <c r="B25" s="425" t="s">
        <v>58</v>
      </c>
      <c r="C25" s="36"/>
      <c r="D25" s="36"/>
      <c r="E25" s="36">
        <f t="shared" si="2"/>
        <v>0</v>
      </c>
      <c r="F25" s="211">
        <v>0</v>
      </c>
      <c r="G25" s="211">
        <v>147000</v>
      </c>
    </row>
    <row r="26" spans="1:7" ht="18">
      <c r="A26" s="333" t="s">
        <v>59</v>
      </c>
      <c r="B26" s="435"/>
      <c r="C26" s="36"/>
      <c r="D26" s="36"/>
      <c r="E26" s="36"/>
      <c r="F26" s="37"/>
      <c r="G26" s="37"/>
    </row>
    <row r="27" spans="1:7" ht="18">
      <c r="A27" s="338" t="s">
        <v>60</v>
      </c>
      <c r="B27" s="425" t="s">
        <v>61</v>
      </c>
      <c r="C27" s="36">
        <v>671766.18</v>
      </c>
      <c r="D27" s="36">
        <v>436660.84</v>
      </c>
      <c r="E27" s="36">
        <f t="shared" ref="E27:E30" si="3">F27-D27</f>
        <v>611165.24</v>
      </c>
      <c r="F27" s="211">
        <v>1047826.08</v>
      </c>
      <c r="G27" s="211">
        <v>1409686.92</v>
      </c>
    </row>
    <row r="28" spans="1:7" ht="18">
      <c r="A28" s="338" t="s">
        <v>62</v>
      </c>
      <c r="B28" s="425" t="s">
        <v>63</v>
      </c>
      <c r="C28" s="36">
        <v>13050</v>
      </c>
      <c r="D28" s="36">
        <v>15100</v>
      </c>
      <c r="E28" s="36">
        <f t="shared" si="3"/>
        <v>6500</v>
      </c>
      <c r="F28" s="37">
        <v>21600</v>
      </c>
      <c r="G28" s="37">
        <v>50400</v>
      </c>
    </row>
    <row r="29" spans="1:7" ht="18">
      <c r="A29" s="338" t="s">
        <v>64</v>
      </c>
      <c r="B29" s="425" t="s">
        <v>65</v>
      </c>
      <c r="C29" s="36">
        <v>101047.73</v>
      </c>
      <c r="D29" s="36">
        <v>95882.46</v>
      </c>
      <c r="E29" s="36">
        <f t="shared" si="3"/>
        <v>93955.02</v>
      </c>
      <c r="F29" s="211">
        <v>189837.48</v>
      </c>
      <c r="G29" s="211">
        <v>286702.73</v>
      </c>
    </row>
    <row r="30" spans="1:7" ht="18">
      <c r="A30" s="338" t="s">
        <v>66</v>
      </c>
      <c r="B30" s="425" t="s">
        <v>67</v>
      </c>
      <c r="C30" s="36">
        <v>13050</v>
      </c>
      <c r="D30" s="36">
        <v>8300</v>
      </c>
      <c r="E30" s="36">
        <f t="shared" si="3"/>
        <v>13300</v>
      </c>
      <c r="F30" s="37">
        <v>21600</v>
      </c>
      <c r="G30" s="37">
        <v>25200</v>
      </c>
    </row>
    <row r="31" spans="1:7" ht="18">
      <c r="A31" s="333" t="s">
        <v>68</v>
      </c>
      <c r="B31" s="425"/>
      <c r="C31" s="36"/>
      <c r="D31" s="36"/>
      <c r="E31" s="36"/>
      <c r="F31" s="37"/>
      <c r="G31" s="37"/>
    </row>
    <row r="32" spans="1:7" ht="18.75" thickBot="1">
      <c r="A32" s="426" t="s">
        <v>558</v>
      </c>
      <c r="B32" s="347" t="s">
        <v>520</v>
      </c>
      <c r="C32" s="48">
        <v>0</v>
      </c>
      <c r="D32" s="48">
        <v>0</v>
      </c>
      <c r="E32" s="36">
        <f t="shared" ref="E32" si="4">F32-D32</f>
        <v>0</v>
      </c>
      <c r="F32" s="49">
        <v>0</v>
      </c>
      <c r="G32" s="49">
        <f>471782.08-165015</f>
        <v>306767.08</v>
      </c>
    </row>
    <row r="33" spans="1:10" ht="19.5" thickTop="1" thickBot="1">
      <c r="A33" s="351" t="s">
        <v>71</v>
      </c>
      <c r="B33" s="352"/>
      <c r="C33" s="75">
        <f>SUM(C13:C30)</f>
        <v>8456519.2300000004</v>
      </c>
      <c r="D33" s="75">
        <f>SUM(D13:D30)</f>
        <v>5230549.96</v>
      </c>
      <c r="E33" s="75">
        <f>SUM(E13:E30)</f>
        <v>7734511.5999999996</v>
      </c>
      <c r="F33" s="214">
        <f>SUM(F13:F30)</f>
        <v>12980061.560000001</v>
      </c>
      <c r="G33" s="75">
        <f>SUM(G13:G32)</f>
        <v>17639022.73</v>
      </c>
    </row>
    <row r="34" spans="1:10" ht="18.75" thickTop="1">
      <c r="A34" s="355" t="s">
        <v>72</v>
      </c>
      <c r="B34" s="356"/>
      <c r="C34" s="427"/>
      <c r="D34" s="427"/>
      <c r="E34" s="427"/>
      <c r="F34" s="428"/>
      <c r="G34" s="547"/>
    </row>
    <row r="35" spans="1:10" ht="18">
      <c r="A35" s="338" t="s">
        <v>75</v>
      </c>
      <c r="B35" s="356" t="s">
        <v>76</v>
      </c>
      <c r="C35" s="38">
        <v>0</v>
      </c>
      <c r="D35" s="55">
        <v>0</v>
      </c>
      <c r="E35" s="36">
        <f t="shared" ref="E35:E42" si="5">F35-D35</f>
        <v>200000</v>
      </c>
      <c r="F35" s="37">
        <v>200000</v>
      </c>
      <c r="G35" s="37">
        <v>400000</v>
      </c>
    </row>
    <row r="36" spans="1:10" ht="18">
      <c r="A36" s="338" t="s">
        <v>224</v>
      </c>
      <c r="B36" s="356" t="s">
        <v>78</v>
      </c>
      <c r="C36" s="55">
        <v>0</v>
      </c>
      <c r="D36" s="55">
        <v>47035</v>
      </c>
      <c r="E36" s="36">
        <f t="shared" si="5"/>
        <v>152965</v>
      </c>
      <c r="F36" s="37">
        <v>200000</v>
      </c>
      <c r="G36" s="37">
        <v>300000</v>
      </c>
    </row>
    <row r="37" spans="1:10" ht="18">
      <c r="A37" s="338" t="s">
        <v>400</v>
      </c>
      <c r="B37" s="356" t="s">
        <v>401</v>
      </c>
      <c r="C37" s="55">
        <v>0</v>
      </c>
      <c r="D37" s="55">
        <v>0</v>
      </c>
      <c r="E37" s="36">
        <f t="shared" si="5"/>
        <v>50000</v>
      </c>
      <c r="F37" s="37">
        <v>50000</v>
      </c>
      <c r="G37" s="37">
        <v>0</v>
      </c>
    </row>
    <row r="38" spans="1:10" ht="18">
      <c r="A38" s="359" t="s">
        <v>79</v>
      </c>
      <c r="B38" s="360" t="s">
        <v>80</v>
      </c>
      <c r="C38" s="55">
        <v>102364.5</v>
      </c>
      <c r="D38" s="56">
        <v>30913</v>
      </c>
      <c r="E38" s="36">
        <f t="shared" si="5"/>
        <v>119087</v>
      </c>
      <c r="F38" s="37">
        <v>150000</v>
      </c>
      <c r="G38" s="37">
        <v>120000</v>
      </c>
    </row>
    <row r="39" spans="1:10" ht="18">
      <c r="A39" s="359" t="s">
        <v>81</v>
      </c>
      <c r="B39" s="360" t="s">
        <v>82</v>
      </c>
      <c r="C39" s="38">
        <v>5805</v>
      </c>
      <c r="D39" s="38">
        <v>0</v>
      </c>
      <c r="E39" s="36">
        <f t="shared" si="5"/>
        <v>500000</v>
      </c>
      <c r="F39" s="37">
        <v>500000</v>
      </c>
      <c r="G39" s="37">
        <v>0</v>
      </c>
    </row>
    <row r="40" spans="1:10" ht="18">
      <c r="A40" s="359" t="s">
        <v>83</v>
      </c>
      <c r="B40" s="360" t="s">
        <v>84</v>
      </c>
      <c r="C40" s="55">
        <v>60000</v>
      </c>
      <c r="D40" s="56">
        <v>30000</v>
      </c>
      <c r="E40" s="36">
        <f t="shared" si="5"/>
        <v>30000</v>
      </c>
      <c r="F40" s="37">
        <v>60000</v>
      </c>
      <c r="G40" s="37">
        <v>60000</v>
      </c>
    </row>
    <row r="41" spans="1:10" ht="18">
      <c r="A41" s="338" t="s">
        <v>85</v>
      </c>
      <c r="B41" s="339" t="s">
        <v>86</v>
      </c>
      <c r="C41" s="38">
        <v>27000</v>
      </c>
      <c r="D41" s="36">
        <v>22500</v>
      </c>
      <c r="E41" s="36">
        <f t="shared" si="5"/>
        <v>31500</v>
      </c>
      <c r="F41" s="37">
        <v>54000</v>
      </c>
      <c r="G41" s="37">
        <v>54000</v>
      </c>
    </row>
    <row r="42" spans="1:10" ht="18">
      <c r="A42" s="359" t="s">
        <v>299</v>
      </c>
      <c r="B42" s="360" t="s">
        <v>300</v>
      </c>
      <c r="C42" s="38">
        <v>0</v>
      </c>
      <c r="D42" s="55">
        <v>0</v>
      </c>
      <c r="E42" s="36">
        <f t="shared" si="5"/>
        <v>0</v>
      </c>
      <c r="F42" s="57">
        <v>0</v>
      </c>
      <c r="G42" s="57"/>
    </row>
    <row r="43" spans="1:10" ht="18">
      <c r="A43" s="359" t="s">
        <v>108</v>
      </c>
      <c r="B43" s="360" t="s">
        <v>109</v>
      </c>
      <c r="C43" s="56"/>
      <c r="D43" s="56"/>
      <c r="E43" s="36"/>
      <c r="F43" s="37"/>
      <c r="G43" s="37"/>
    </row>
    <row r="44" spans="1:10" ht="18">
      <c r="A44" s="434" t="s">
        <v>402</v>
      </c>
      <c r="B44" s="356"/>
      <c r="C44" s="38">
        <v>500000</v>
      </c>
      <c r="D44" s="98">
        <v>0</v>
      </c>
      <c r="E44" s="36">
        <f t="shared" ref="E44" si="6">F44-D44</f>
        <v>1000000</v>
      </c>
      <c r="F44" s="215">
        <v>1000000</v>
      </c>
      <c r="G44" s="215">
        <v>300000</v>
      </c>
    </row>
    <row r="45" spans="1:10" ht="18">
      <c r="A45" s="434" t="s">
        <v>403</v>
      </c>
      <c r="B45" s="356"/>
      <c r="C45" s="38">
        <v>53280.2</v>
      </c>
      <c r="D45" s="98">
        <v>0</v>
      </c>
      <c r="E45" s="36">
        <v>0</v>
      </c>
      <c r="F45" s="57">
        <v>0</v>
      </c>
      <c r="G45" s="57"/>
    </row>
    <row r="46" spans="1:10" ht="18.75" thickBot="1">
      <c r="A46" s="434"/>
      <c r="B46" s="356"/>
      <c r="C46" s="38"/>
      <c r="D46" s="98"/>
      <c r="E46" s="36"/>
      <c r="F46" s="57"/>
      <c r="G46" s="57"/>
    </row>
    <row r="47" spans="1:10" ht="19.5" thickTop="1" thickBot="1">
      <c r="A47" s="351" t="s">
        <v>162</v>
      </c>
      <c r="B47" s="367"/>
      <c r="C47" s="112">
        <f>SUM(C35:C46)</f>
        <v>748449.7</v>
      </c>
      <c r="D47" s="75">
        <f>SUM(D35:D46)</f>
        <v>130448</v>
      </c>
      <c r="E47" s="75">
        <f>SUM(E35:E46)</f>
        <v>2083552</v>
      </c>
      <c r="F47" s="75">
        <f>SUM(F35:F46)</f>
        <v>2214000</v>
      </c>
      <c r="G47" s="75">
        <f>SUM(G35:G46)</f>
        <v>1234000</v>
      </c>
      <c r="I47" s="558"/>
      <c r="J47" s="558"/>
    </row>
    <row r="48" spans="1:10" ht="18.75" thickTop="1">
      <c r="A48" s="355" t="s">
        <v>163</v>
      </c>
      <c r="B48" s="436"/>
      <c r="C48" s="216"/>
      <c r="D48" s="216"/>
      <c r="E48" s="216"/>
      <c r="F48" s="280"/>
      <c r="G48" s="217"/>
    </row>
    <row r="49" spans="1:7" ht="18">
      <c r="A49" s="904" t="s">
        <v>167</v>
      </c>
      <c r="B49" s="389" t="s">
        <v>168</v>
      </c>
      <c r="C49" s="38">
        <v>0</v>
      </c>
      <c r="D49" s="38">
        <v>0</v>
      </c>
      <c r="E49" s="38">
        <v>0</v>
      </c>
      <c r="F49" s="38">
        <v>0</v>
      </c>
      <c r="G49" s="80">
        <v>200000</v>
      </c>
    </row>
    <row r="50" spans="1:7" ht="36.75" thickBot="1">
      <c r="A50" s="904" t="s">
        <v>205</v>
      </c>
      <c r="B50" s="389" t="s">
        <v>206</v>
      </c>
      <c r="C50" s="38">
        <v>166878</v>
      </c>
      <c r="D50" s="38">
        <v>0</v>
      </c>
      <c r="E50" s="36">
        <f t="shared" ref="E50" si="7">F50-D50</f>
        <v>250000</v>
      </c>
      <c r="F50" s="37">
        <v>250000</v>
      </c>
      <c r="G50" s="37">
        <v>0</v>
      </c>
    </row>
    <row r="51" spans="1:7" ht="19.5" thickTop="1" thickBot="1">
      <c r="A51" s="351" t="s">
        <v>171</v>
      </c>
      <c r="B51" s="367"/>
      <c r="C51" s="112">
        <f>C50</f>
        <v>166878</v>
      </c>
      <c r="D51" s="112">
        <f>D50</f>
        <v>0</v>
      </c>
      <c r="E51" s="112">
        <f>E50</f>
        <v>250000</v>
      </c>
      <c r="F51" s="112">
        <f>F50</f>
        <v>250000</v>
      </c>
      <c r="G51" s="75">
        <f>SUM(G49:G50)</f>
        <v>200000</v>
      </c>
    </row>
    <row r="52" spans="1:7" ht="19.5" thickTop="1" thickBot="1">
      <c r="A52" s="351" t="s">
        <v>181</v>
      </c>
      <c r="B52" s="367"/>
      <c r="C52" s="75">
        <f>C51+C47+C33</f>
        <v>9371846.9299999997</v>
      </c>
      <c r="D52" s="75">
        <f>D51+D47+D33</f>
        <v>5360997.96</v>
      </c>
      <c r="E52" s="75">
        <f>E51+E47+E33</f>
        <v>10068063.6</v>
      </c>
      <c r="F52" s="75">
        <f>F50+F47+F33</f>
        <v>15444061.560000001</v>
      </c>
      <c r="G52" s="75">
        <f>G51+G47+G33</f>
        <v>19073022.73</v>
      </c>
    </row>
    <row r="53" spans="1:7" ht="18.75" thickTop="1">
      <c r="A53" s="317"/>
      <c r="B53" s="317"/>
      <c r="C53" s="317"/>
      <c r="D53" s="317"/>
      <c r="E53" s="317"/>
      <c r="F53" s="317"/>
      <c r="G53" s="317"/>
    </row>
    <row r="54" spans="1:7" ht="18">
      <c r="A54" s="317"/>
      <c r="B54" s="318"/>
      <c r="C54" s="317"/>
      <c r="D54" s="317"/>
      <c r="E54" s="317"/>
      <c r="F54" s="317"/>
      <c r="G54" s="317"/>
    </row>
    <row r="55" spans="1:7" ht="18">
      <c r="A55" s="317"/>
      <c r="B55" s="317"/>
      <c r="C55" s="317"/>
      <c r="D55" s="317"/>
      <c r="E55" s="317"/>
      <c r="F55" s="317"/>
      <c r="G55" s="317"/>
    </row>
    <row r="56" spans="1:7" ht="18">
      <c r="A56" s="309"/>
      <c r="B56" s="1239"/>
      <c r="C56" s="1236"/>
      <c r="D56" s="1236"/>
      <c r="E56" s="369"/>
      <c r="F56" s="1240"/>
      <c r="G56" s="1241"/>
    </row>
    <row r="57" spans="1:7" ht="18">
      <c r="A57" s="373"/>
      <c r="B57" s="1235"/>
      <c r="C57" s="1236"/>
      <c r="D57" s="1236"/>
      <c r="E57" s="372"/>
      <c r="F57" s="1237"/>
      <c r="G57" s="1241"/>
    </row>
    <row r="58" spans="1:7" ht="18">
      <c r="A58" s="317"/>
      <c r="B58" s="317"/>
      <c r="C58" s="317"/>
      <c r="D58" s="317"/>
      <c r="E58" s="317"/>
      <c r="F58" s="317"/>
      <c r="G58" s="317"/>
    </row>
    <row r="59" spans="1:7" ht="18">
      <c r="A59" s="317"/>
      <c r="B59" s="317"/>
      <c r="C59" s="317"/>
      <c r="D59" s="317"/>
      <c r="E59" s="317"/>
      <c r="F59" s="317"/>
      <c r="G59" s="317"/>
    </row>
    <row r="60" spans="1:7" ht="18">
      <c r="A60" s="317"/>
      <c r="B60" s="317"/>
      <c r="C60" s="317"/>
      <c r="D60" s="317"/>
      <c r="E60" s="317"/>
      <c r="F60" s="317"/>
      <c r="G60" s="317"/>
    </row>
    <row r="61" spans="1:7" ht="18">
      <c r="A61" s="317" t="s">
        <v>183</v>
      </c>
      <c r="B61" s="317" t="s">
        <v>184</v>
      </c>
      <c r="C61" s="317"/>
      <c r="D61" s="317"/>
      <c r="E61" s="317"/>
      <c r="F61" s="317" t="s">
        <v>185</v>
      </c>
      <c r="G61" s="317"/>
    </row>
    <row r="62" spans="1:7" ht="18">
      <c r="A62" s="317"/>
      <c r="B62" s="317"/>
      <c r="C62" s="317"/>
      <c r="D62" s="317"/>
      <c r="E62" s="317"/>
      <c r="F62" s="317"/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8">
      <c r="A64" s="317"/>
      <c r="B64" s="317"/>
      <c r="C64" s="317"/>
      <c r="D64" s="317"/>
      <c r="E64" s="317"/>
      <c r="F64" s="317"/>
      <c r="G64" s="317"/>
    </row>
    <row r="65" spans="1:7" ht="18">
      <c r="A65" s="317"/>
      <c r="B65" s="317"/>
      <c r="C65" s="317"/>
      <c r="D65" s="317"/>
      <c r="E65" s="317"/>
      <c r="F65" s="317"/>
      <c r="G65" s="31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09" t="s">
        <v>607</v>
      </c>
      <c r="B68" s="1239" t="s">
        <v>187</v>
      </c>
      <c r="C68" s="1236"/>
      <c r="D68" s="1236"/>
      <c r="E68" s="369"/>
      <c r="F68" s="1240" t="s">
        <v>188</v>
      </c>
      <c r="G68" s="1241"/>
    </row>
    <row r="69" spans="1:7" ht="18">
      <c r="A69" s="373" t="s">
        <v>608</v>
      </c>
      <c r="B69" s="1235" t="s">
        <v>190</v>
      </c>
      <c r="C69" s="1236"/>
      <c r="D69" s="1236"/>
      <c r="E69" s="372"/>
      <c r="F69" s="1237" t="s">
        <v>191</v>
      </c>
      <c r="G69" s="1241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6.5">
      <c r="A72" s="1238" t="s">
        <v>194</v>
      </c>
      <c r="B72" s="1238"/>
      <c r="C72" s="1238"/>
      <c r="D72" s="1238"/>
      <c r="E72" s="1238"/>
      <c r="F72" s="1238"/>
      <c r="G72" s="1238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 ht="18">
      <c r="A249" s="317"/>
      <c r="B249" s="317"/>
      <c r="C249" s="317"/>
      <c r="D249" s="317"/>
      <c r="E249" s="317"/>
      <c r="F249" s="317"/>
      <c r="G249" s="317"/>
    </row>
    <row r="250" spans="1:7" ht="18">
      <c r="A250" s="317"/>
      <c r="B250" s="317"/>
      <c r="C250" s="317"/>
      <c r="D250" s="317"/>
      <c r="E250" s="317"/>
      <c r="F250" s="317"/>
      <c r="G250" s="317"/>
    </row>
    <row r="251" spans="1:7" ht="18">
      <c r="A251" s="317"/>
      <c r="B251" s="317"/>
      <c r="C251" s="317"/>
      <c r="D251" s="317"/>
      <c r="E251" s="317"/>
      <c r="F251" s="317"/>
      <c r="G251" s="317"/>
    </row>
    <row r="252" spans="1:7">
      <c r="A252" s="377"/>
      <c r="B252" s="377"/>
      <c r="C252" s="377"/>
      <c r="D252" s="377"/>
      <c r="E252" s="377"/>
      <c r="F252" s="377"/>
      <c r="G252" s="37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</sheetData>
  <sheetProtection algorithmName="SHA-512" hashValue="fFfLByan59ZLbIfqhBV56uKkUmR+LKh4UagivXysNKYH+kv5CDZ9bNWRyi//HLW+6vw1xIUcBIhcLaXY2PQLFg==" saltValue="H80FO6qA47dUh4P2IA9ZQA==" spinCount="100000" sheet="1" objects="1" scenarios="1"/>
  <mergeCells count="17">
    <mergeCell ref="B69:D69"/>
    <mergeCell ref="F69:G69"/>
    <mergeCell ref="A72:G72"/>
    <mergeCell ref="B56:D56"/>
    <mergeCell ref="F56:G56"/>
    <mergeCell ref="B57:D57"/>
    <mergeCell ref="F57:G57"/>
    <mergeCell ref="B68:D68"/>
    <mergeCell ref="F68:G68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C0F48-3EB3-4EEB-BF62-146BA335E37E}">
  <dimension ref="A1:I1000"/>
  <sheetViews>
    <sheetView workbookViewId="0">
      <selection activeCell="A98" sqref="A98:G98"/>
    </sheetView>
  </sheetViews>
  <sheetFormatPr defaultColWidth="8.85546875" defaultRowHeight="15"/>
  <cols>
    <col min="1" max="1" width="52.7109375" style="314" customWidth="1"/>
    <col min="2" max="2" width="13.85546875" style="314" customWidth="1"/>
    <col min="3" max="7" width="16.5703125" style="314" customWidth="1"/>
    <col min="8" max="8" width="8.85546875" style="314"/>
    <col min="9" max="9" width="13.5703125" style="314" bestFit="1" customWidth="1"/>
    <col min="10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25"/>
      <c r="C2" s="1225"/>
      <c r="D2" s="1225"/>
      <c r="E2" s="1225"/>
      <c r="F2" s="1225"/>
      <c r="G2" s="1225"/>
    </row>
    <row r="3" spans="1:7" ht="18">
      <c r="A3" s="1227" t="s">
        <v>14</v>
      </c>
      <c r="B3" s="1227"/>
      <c r="C3" s="1227"/>
      <c r="D3" s="1227"/>
      <c r="E3" s="1227"/>
      <c r="F3" s="1227"/>
      <c r="G3" s="1227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7" t="s">
        <v>716</v>
      </c>
      <c r="B5" s="315"/>
      <c r="C5" s="316"/>
      <c r="D5" s="596"/>
      <c r="E5" s="316"/>
      <c r="F5" s="315"/>
      <c r="G5" s="315"/>
    </row>
    <row r="6" spans="1:7" ht="19.5" thickTop="1" thickBot="1">
      <c r="A6" s="1228" t="s">
        <v>16</v>
      </c>
      <c r="B6" s="1228" t="s">
        <v>17</v>
      </c>
      <c r="C6" s="1230" t="s">
        <v>580</v>
      </c>
      <c r="D6" s="1268" t="s">
        <v>562</v>
      </c>
      <c r="E6" s="1269"/>
      <c r="F6" s="1270"/>
      <c r="G6" s="1228" t="s">
        <v>556</v>
      </c>
    </row>
    <row r="7" spans="1:7" ht="35.25" thickTop="1">
      <c r="A7" s="1266"/>
      <c r="B7" s="1266"/>
      <c r="C7" s="1267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66"/>
      <c r="B8" s="1266"/>
      <c r="C8" s="1267"/>
      <c r="D8" s="321" t="s">
        <v>24</v>
      </c>
      <c r="E8" s="321" t="s">
        <v>25</v>
      </c>
      <c r="F8" s="1266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6"/>
      <c r="C10" s="578"/>
      <c r="D10" s="578"/>
      <c r="E10" s="578"/>
      <c r="F10" s="380"/>
      <c r="G10" s="327"/>
    </row>
    <row r="11" spans="1:7" ht="18">
      <c r="A11" s="328" t="s">
        <v>34</v>
      </c>
      <c r="B11" s="748"/>
      <c r="C11" s="579"/>
      <c r="D11" s="579"/>
      <c r="E11" s="579"/>
      <c r="F11" s="381"/>
      <c r="G11" s="332"/>
    </row>
    <row r="12" spans="1:7" ht="18">
      <c r="A12" s="333" t="s">
        <v>35</v>
      </c>
      <c r="B12" s="335"/>
      <c r="C12" s="579"/>
      <c r="D12" s="579"/>
      <c r="E12" s="579"/>
      <c r="F12" s="383"/>
      <c r="G12" s="337"/>
    </row>
    <row r="13" spans="1:7" ht="18">
      <c r="A13" s="338" t="s">
        <v>36</v>
      </c>
      <c r="B13" s="425" t="s">
        <v>37</v>
      </c>
      <c r="C13" s="38">
        <v>16111481.210000001</v>
      </c>
      <c r="D13" s="38">
        <v>7692714</v>
      </c>
      <c r="E13" s="38">
        <f t="shared" ref="E13:E14" si="0">F13-D13</f>
        <v>13471722</v>
      </c>
      <c r="F13" s="83">
        <v>21164436</v>
      </c>
      <c r="G13" s="57">
        <v>22467891</v>
      </c>
    </row>
    <row r="14" spans="1:7" ht="18">
      <c r="A14" s="338" t="s">
        <v>216</v>
      </c>
      <c r="B14" s="425" t="s">
        <v>39</v>
      </c>
      <c r="C14" s="38">
        <v>1057727.1000000001</v>
      </c>
      <c r="D14" s="38">
        <v>481000</v>
      </c>
      <c r="E14" s="38">
        <f t="shared" si="0"/>
        <v>611000</v>
      </c>
      <c r="F14" s="83">
        <v>1092000</v>
      </c>
      <c r="G14" s="57">
        <v>1155105</v>
      </c>
    </row>
    <row r="15" spans="1:7" ht="18">
      <c r="A15" s="333" t="s">
        <v>40</v>
      </c>
      <c r="B15" s="435"/>
      <c r="C15" s="38"/>
      <c r="D15" s="38"/>
      <c r="E15" s="38"/>
      <c r="F15" s="83"/>
      <c r="G15" s="57"/>
    </row>
    <row r="16" spans="1:7" ht="18">
      <c r="A16" s="338" t="s">
        <v>41</v>
      </c>
      <c r="B16" s="425" t="s">
        <v>42</v>
      </c>
      <c r="C16" s="38">
        <v>1759809.16</v>
      </c>
      <c r="D16" s="38">
        <v>832363.63</v>
      </c>
      <c r="E16" s="38">
        <f t="shared" ref="E16:E19" si="1">F16-D16</f>
        <v>1399636.37</v>
      </c>
      <c r="F16" s="57">
        <v>2232000</v>
      </c>
      <c r="G16" s="57">
        <v>2232000</v>
      </c>
    </row>
    <row r="17" spans="1:7" ht="18">
      <c r="A17" s="338" t="s">
        <v>43</v>
      </c>
      <c r="B17" s="425" t="s">
        <v>44</v>
      </c>
      <c r="C17" s="38">
        <v>192000</v>
      </c>
      <c r="D17" s="38">
        <v>96000</v>
      </c>
      <c r="E17" s="38">
        <f t="shared" si="1"/>
        <v>96000</v>
      </c>
      <c r="F17" s="57">
        <v>192000</v>
      </c>
      <c r="G17" s="57">
        <v>216000</v>
      </c>
    </row>
    <row r="18" spans="1:7" ht="18">
      <c r="A18" s="338" t="s">
        <v>45</v>
      </c>
      <c r="B18" s="425" t="s">
        <v>46</v>
      </c>
      <c r="C18" s="38">
        <v>192000</v>
      </c>
      <c r="D18" s="38">
        <v>96000</v>
      </c>
      <c r="E18" s="38">
        <f t="shared" si="1"/>
        <v>96000</v>
      </c>
      <c r="F18" s="57">
        <v>192000</v>
      </c>
      <c r="G18" s="57">
        <v>216000</v>
      </c>
    </row>
    <row r="19" spans="1:7" ht="18">
      <c r="A19" s="338" t="s">
        <v>47</v>
      </c>
      <c r="B19" s="425" t="s">
        <v>48</v>
      </c>
      <c r="C19" s="38">
        <v>438000</v>
      </c>
      <c r="D19" s="38">
        <v>408000</v>
      </c>
      <c r="E19" s="38">
        <f t="shared" si="1"/>
        <v>150000</v>
      </c>
      <c r="F19" s="57">
        <v>558000</v>
      </c>
      <c r="G19" s="57">
        <v>651000</v>
      </c>
    </row>
    <row r="20" spans="1:7" ht="18">
      <c r="A20" s="338" t="s">
        <v>49</v>
      </c>
      <c r="B20" s="339" t="s">
        <v>50</v>
      </c>
      <c r="C20" s="38">
        <v>372500</v>
      </c>
      <c r="D20" s="38">
        <v>0</v>
      </c>
      <c r="E20" s="38">
        <v>465000</v>
      </c>
      <c r="F20" s="57">
        <v>465000</v>
      </c>
      <c r="G20" s="57">
        <v>465000</v>
      </c>
    </row>
    <row r="21" spans="1:7" ht="18">
      <c r="A21" s="338" t="s">
        <v>53</v>
      </c>
      <c r="B21" s="425" t="s">
        <v>54</v>
      </c>
      <c r="C21" s="38">
        <v>1473983.65</v>
      </c>
      <c r="D21" s="38">
        <v>0</v>
      </c>
      <c r="E21" s="38">
        <f t="shared" ref="E21:E23" si="2">F21-D21</f>
        <v>1854703</v>
      </c>
      <c r="F21" s="57">
        <v>1854703</v>
      </c>
      <c r="G21" s="57">
        <v>2015546</v>
      </c>
    </row>
    <row r="22" spans="1:7" ht="18">
      <c r="A22" s="338" t="s">
        <v>55</v>
      </c>
      <c r="B22" s="425" t="s">
        <v>56</v>
      </c>
      <c r="C22" s="38">
        <v>371750</v>
      </c>
      <c r="D22" s="38">
        <v>0</v>
      </c>
      <c r="E22" s="38">
        <f t="shared" si="2"/>
        <v>465000</v>
      </c>
      <c r="F22" s="57">
        <v>465000</v>
      </c>
      <c r="G22" s="57">
        <v>465000</v>
      </c>
    </row>
    <row r="23" spans="1:7" ht="18">
      <c r="A23" s="338" t="s">
        <v>57</v>
      </c>
      <c r="B23" s="425" t="s">
        <v>58</v>
      </c>
      <c r="C23" s="38">
        <v>1430636</v>
      </c>
      <c r="D23" s="38">
        <v>1335687</v>
      </c>
      <c r="E23" s="38">
        <f t="shared" si="2"/>
        <v>519016</v>
      </c>
      <c r="F23" s="57">
        <v>1854703</v>
      </c>
      <c r="G23" s="57">
        <v>1935038</v>
      </c>
    </row>
    <row r="24" spans="1:7" ht="18">
      <c r="A24" s="338" t="s">
        <v>557</v>
      </c>
      <c r="B24" s="425" t="s">
        <v>58</v>
      </c>
      <c r="C24" s="38">
        <v>0</v>
      </c>
      <c r="D24" s="38">
        <v>0</v>
      </c>
      <c r="E24" s="38"/>
      <c r="F24" s="57"/>
      <c r="G24" s="57">
        <v>651000</v>
      </c>
    </row>
    <row r="25" spans="1:7" ht="18">
      <c r="A25" s="333" t="s">
        <v>59</v>
      </c>
      <c r="B25" s="435"/>
      <c r="C25" s="38"/>
      <c r="D25" s="38"/>
      <c r="E25" s="38"/>
      <c r="F25" s="57"/>
      <c r="G25" s="57"/>
    </row>
    <row r="26" spans="1:7" ht="18">
      <c r="A26" s="338" t="s">
        <v>60</v>
      </c>
      <c r="B26" s="425" t="s">
        <v>61</v>
      </c>
      <c r="C26" s="38">
        <v>2061935.26</v>
      </c>
      <c r="D26" s="38">
        <v>981773.3</v>
      </c>
      <c r="E26" s="38">
        <f t="shared" ref="E26:E29" si="3">F26-D26</f>
        <v>1688999.0199999998</v>
      </c>
      <c r="F26" s="57">
        <v>2670772.3199999998</v>
      </c>
      <c r="G26" s="57">
        <v>2834759.52</v>
      </c>
    </row>
    <row r="27" spans="1:7" ht="18">
      <c r="A27" s="338" t="s">
        <v>62</v>
      </c>
      <c r="B27" s="425" t="s">
        <v>63</v>
      </c>
      <c r="C27" s="38">
        <v>88350</v>
      </c>
      <c r="D27" s="38">
        <v>76262.5</v>
      </c>
      <c r="E27" s="38">
        <f t="shared" si="3"/>
        <v>35337.5</v>
      </c>
      <c r="F27" s="57">
        <v>111600</v>
      </c>
      <c r="G27" s="57">
        <v>223200</v>
      </c>
    </row>
    <row r="28" spans="1:7" ht="18">
      <c r="A28" s="338" t="s">
        <v>64</v>
      </c>
      <c r="B28" s="425" t="s">
        <v>65</v>
      </c>
      <c r="C28" s="38">
        <v>341606.64</v>
      </c>
      <c r="D28" s="38">
        <v>218810.86</v>
      </c>
      <c r="E28" s="38">
        <f t="shared" si="3"/>
        <v>274908.38</v>
      </c>
      <c r="F28" s="57">
        <v>493719.24</v>
      </c>
      <c r="G28" s="57">
        <v>583592.85</v>
      </c>
    </row>
    <row r="29" spans="1:7" ht="18">
      <c r="A29" s="341" t="s">
        <v>66</v>
      </c>
      <c r="B29" s="749" t="s">
        <v>67</v>
      </c>
      <c r="C29" s="97">
        <v>88300</v>
      </c>
      <c r="D29" s="97">
        <v>41800</v>
      </c>
      <c r="E29" s="97">
        <f t="shared" si="3"/>
        <v>69800</v>
      </c>
      <c r="F29" s="99">
        <v>111600</v>
      </c>
      <c r="G29" s="99">
        <v>111600</v>
      </c>
    </row>
    <row r="30" spans="1:7" ht="18">
      <c r="A30" s="333" t="s">
        <v>68</v>
      </c>
      <c r="B30" s="425"/>
      <c r="C30" s="38"/>
      <c r="D30" s="38"/>
      <c r="E30" s="38"/>
      <c r="F30" s="57"/>
      <c r="G30" s="57"/>
    </row>
    <row r="31" spans="1:7" ht="18.75" thickBot="1">
      <c r="A31" s="426" t="s">
        <v>558</v>
      </c>
      <c r="B31" s="752" t="s">
        <v>520</v>
      </c>
      <c r="C31" s="124">
        <v>0</v>
      </c>
      <c r="D31" s="124">
        <v>0</v>
      </c>
      <c r="E31" s="124"/>
      <c r="F31" s="746"/>
      <c r="G31" s="746">
        <f>(G13+G14)/12*10*0.0481927</f>
        <v>948713.29944099998</v>
      </c>
    </row>
    <row r="32" spans="1:7" ht="19.5" thickTop="1" thickBot="1">
      <c r="A32" s="351" t="s">
        <v>71</v>
      </c>
      <c r="B32" s="352"/>
      <c r="C32" s="112">
        <f t="shared" ref="C32:F32" si="4">SUM(C13:C29)</f>
        <v>25980079.020000003</v>
      </c>
      <c r="D32" s="112">
        <f t="shared" si="4"/>
        <v>12260411.290000001</v>
      </c>
      <c r="E32" s="112">
        <f t="shared" si="4"/>
        <v>21197122.27</v>
      </c>
      <c r="F32" s="112">
        <f t="shared" si="4"/>
        <v>33457533.559999999</v>
      </c>
      <c r="G32" s="112">
        <f>SUM(G13:G31)</f>
        <v>37171445.669441007</v>
      </c>
    </row>
    <row r="33" spans="1:9" ht="18.75" thickTop="1">
      <c r="A33" s="355" t="s">
        <v>72</v>
      </c>
      <c r="B33" s="356"/>
      <c r="C33" s="905"/>
      <c r="D33" s="905"/>
      <c r="E33" s="905"/>
      <c r="F33" s="428"/>
      <c r="G33" s="380"/>
    </row>
    <row r="34" spans="1:9" ht="18">
      <c r="A34" s="338" t="s">
        <v>73</v>
      </c>
      <c r="B34" s="356" t="s">
        <v>74</v>
      </c>
      <c r="C34" s="55">
        <v>100000</v>
      </c>
      <c r="D34" s="55">
        <v>0</v>
      </c>
      <c r="E34" s="38">
        <f t="shared" ref="E34:E52" si="5">F34-D34</f>
        <v>150000</v>
      </c>
      <c r="F34" s="57">
        <v>150000</v>
      </c>
      <c r="G34" s="57">
        <v>100000</v>
      </c>
      <c r="I34" s="544"/>
    </row>
    <row r="35" spans="1:9" ht="18">
      <c r="A35" s="359" t="s">
        <v>75</v>
      </c>
      <c r="B35" s="356" t="s">
        <v>76</v>
      </c>
      <c r="C35" s="38">
        <v>185490</v>
      </c>
      <c r="D35" s="55">
        <v>0</v>
      </c>
      <c r="E35" s="38">
        <f t="shared" si="5"/>
        <v>400000</v>
      </c>
      <c r="F35" s="57">
        <v>400000</v>
      </c>
      <c r="G35" s="57">
        <v>200000</v>
      </c>
    </row>
    <row r="36" spans="1:9" ht="18">
      <c r="A36" s="359" t="s">
        <v>77</v>
      </c>
      <c r="B36" s="360" t="s">
        <v>78</v>
      </c>
      <c r="C36" s="38">
        <v>2018876.95</v>
      </c>
      <c r="D36" s="38">
        <v>0</v>
      </c>
      <c r="E36" s="38">
        <f t="shared" si="5"/>
        <v>3000000</v>
      </c>
      <c r="F36" s="57">
        <v>3000000</v>
      </c>
      <c r="G36" s="57">
        <v>2000000</v>
      </c>
    </row>
    <row r="37" spans="1:9" ht="18">
      <c r="A37" s="359" t="s">
        <v>79</v>
      </c>
      <c r="B37" s="360" t="s">
        <v>80</v>
      </c>
      <c r="C37" s="38">
        <v>5604456.2000000002</v>
      </c>
      <c r="D37" s="38">
        <v>3199460.81</v>
      </c>
      <c r="E37" s="38">
        <f t="shared" si="5"/>
        <v>1100539.19</v>
      </c>
      <c r="F37" s="57">
        <f>4000000+300000</f>
        <v>4300000</v>
      </c>
      <c r="G37" s="57">
        <v>4000000</v>
      </c>
    </row>
    <row r="38" spans="1:9" ht="18">
      <c r="A38" s="359" t="s">
        <v>81</v>
      </c>
      <c r="B38" s="360" t="s">
        <v>82</v>
      </c>
      <c r="C38" s="38">
        <v>11926828.939999999</v>
      </c>
      <c r="D38" s="38">
        <v>941688</v>
      </c>
      <c r="E38" s="38">
        <f t="shared" si="5"/>
        <v>4058312</v>
      </c>
      <c r="F38" s="57">
        <v>5000000</v>
      </c>
      <c r="G38" s="57">
        <v>2000000</v>
      </c>
    </row>
    <row r="39" spans="1:9" ht="18">
      <c r="A39" s="359" t="s">
        <v>404</v>
      </c>
      <c r="B39" s="360" t="s">
        <v>405</v>
      </c>
      <c r="C39" s="38">
        <v>8990332.8499999996</v>
      </c>
      <c r="D39" s="38">
        <v>3612863.46</v>
      </c>
      <c r="E39" s="38">
        <f t="shared" si="5"/>
        <v>6187136.54</v>
      </c>
      <c r="F39" s="57">
        <v>9800000</v>
      </c>
      <c r="G39" s="57">
        <v>8000000</v>
      </c>
    </row>
    <row r="40" spans="1:9" ht="18">
      <c r="A40" s="359" t="s">
        <v>406</v>
      </c>
      <c r="B40" s="360" t="s">
        <v>407</v>
      </c>
      <c r="C40" s="38">
        <v>65947797.789999999</v>
      </c>
      <c r="D40" s="38">
        <v>29710531.32</v>
      </c>
      <c r="E40" s="38">
        <f t="shared" si="5"/>
        <v>36838157.240000002</v>
      </c>
      <c r="F40" s="57">
        <f>66459287+89401.56</f>
        <v>66548688.560000002</v>
      </c>
      <c r="G40" s="57">
        <f>45361066.42+6832.46</f>
        <v>45367898.880000003</v>
      </c>
    </row>
    <row r="41" spans="1:9" ht="18">
      <c r="A41" s="359" t="s">
        <v>83</v>
      </c>
      <c r="B41" s="360" t="s">
        <v>84</v>
      </c>
      <c r="C41" s="38">
        <v>3185560.55</v>
      </c>
      <c r="D41" s="38">
        <v>1088742.78</v>
      </c>
      <c r="E41" s="38">
        <f t="shared" si="5"/>
        <v>2471257.2199999997</v>
      </c>
      <c r="F41" s="57">
        <v>3560000</v>
      </c>
      <c r="G41" s="57">
        <v>3560000</v>
      </c>
    </row>
    <row r="42" spans="1:9" ht="18">
      <c r="A42" s="338" t="s">
        <v>85</v>
      </c>
      <c r="B42" s="339" t="s">
        <v>86</v>
      </c>
      <c r="C42" s="38">
        <v>2784842.54</v>
      </c>
      <c r="D42" s="38">
        <v>1312764.2</v>
      </c>
      <c r="E42" s="38">
        <f t="shared" si="5"/>
        <v>2087235.8</v>
      </c>
      <c r="F42" s="57">
        <v>3400000</v>
      </c>
      <c r="G42" s="57">
        <v>3400000</v>
      </c>
    </row>
    <row r="43" spans="1:9" ht="18">
      <c r="A43" s="359" t="s">
        <v>408</v>
      </c>
      <c r="B43" s="360" t="s">
        <v>409</v>
      </c>
      <c r="C43" s="38">
        <v>5148000</v>
      </c>
      <c r="D43" s="38">
        <v>2650392.81</v>
      </c>
      <c r="E43" s="38">
        <f t="shared" si="5"/>
        <v>5240567.1899999995</v>
      </c>
      <c r="F43" s="57">
        <v>7890960</v>
      </c>
      <c r="G43" s="57">
        <v>11377800</v>
      </c>
    </row>
    <row r="44" spans="1:9" ht="18">
      <c r="A44" s="359" t="s">
        <v>199</v>
      </c>
      <c r="B44" s="360" t="s">
        <v>200</v>
      </c>
      <c r="C44" s="38">
        <v>2700000</v>
      </c>
      <c r="D44" s="38">
        <v>2361639.14</v>
      </c>
      <c r="E44" s="38">
        <f t="shared" si="5"/>
        <v>3113720.86</v>
      </c>
      <c r="F44" s="57">
        <v>5475360</v>
      </c>
      <c r="G44" s="57">
        <v>7844800</v>
      </c>
    </row>
    <row r="45" spans="1:9" ht="36">
      <c r="A45" s="538" t="s">
        <v>335</v>
      </c>
      <c r="B45" s="360" t="s">
        <v>336</v>
      </c>
      <c r="C45" s="38">
        <v>1249027.94</v>
      </c>
      <c r="D45" s="38">
        <v>636632.23</v>
      </c>
      <c r="E45" s="38">
        <f t="shared" si="5"/>
        <v>2363367.77</v>
      </c>
      <c r="F45" s="57">
        <v>3000000</v>
      </c>
      <c r="G45" s="57">
        <v>3000000</v>
      </c>
    </row>
    <row r="46" spans="1:9" ht="36">
      <c r="A46" s="538" t="s">
        <v>240</v>
      </c>
      <c r="B46" s="360" t="s">
        <v>241</v>
      </c>
      <c r="C46" s="38">
        <v>394699.5</v>
      </c>
      <c r="D46" s="38">
        <v>20000</v>
      </c>
      <c r="E46" s="38">
        <f t="shared" si="5"/>
        <v>480000</v>
      </c>
      <c r="F46" s="57">
        <v>500000</v>
      </c>
      <c r="G46" s="57">
        <v>500000</v>
      </c>
    </row>
    <row r="47" spans="1:9" ht="36">
      <c r="A47" s="538" t="s">
        <v>242</v>
      </c>
      <c r="B47" s="360" t="s">
        <v>243</v>
      </c>
      <c r="C47" s="38">
        <v>8999258</v>
      </c>
      <c r="D47" s="38">
        <v>839708</v>
      </c>
      <c r="E47" s="38">
        <f t="shared" si="5"/>
        <v>7160292</v>
      </c>
      <c r="F47" s="57">
        <v>8000000</v>
      </c>
      <c r="G47" s="57">
        <v>2000000</v>
      </c>
    </row>
    <row r="48" spans="1:9" ht="18">
      <c r="A48" s="538" t="s">
        <v>412</v>
      </c>
      <c r="B48" s="360" t="s">
        <v>413</v>
      </c>
      <c r="C48" s="38">
        <v>0</v>
      </c>
      <c r="D48" s="38">
        <v>0</v>
      </c>
      <c r="E48" s="38">
        <f t="shared" si="5"/>
        <v>100000</v>
      </c>
      <c r="F48" s="57">
        <v>100000</v>
      </c>
      <c r="G48" s="57">
        <v>100000</v>
      </c>
    </row>
    <row r="49" spans="1:9" ht="36">
      <c r="A49" s="538" t="s">
        <v>414</v>
      </c>
      <c r="B49" s="435" t="s">
        <v>415</v>
      </c>
      <c r="C49" s="38">
        <v>76324.740000000005</v>
      </c>
      <c r="D49" s="38">
        <v>0</v>
      </c>
      <c r="E49" s="38">
        <f t="shared" si="5"/>
        <v>100000</v>
      </c>
      <c r="F49" s="57">
        <v>100000</v>
      </c>
      <c r="G49" s="57">
        <v>100000</v>
      </c>
    </row>
    <row r="50" spans="1:9" ht="18">
      <c r="A50" s="338" t="s">
        <v>96</v>
      </c>
      <c r="B50" s="360" t="s">
        <v>97</v>
      </c>
      <c r="C50" s="38">
        <v>499999</v>
      </c>
      <c r="D50" s="38">
        <v>141931.5</v>
      </c>
      <c r="E50" s="38">
        <f t="shared" si="5"/>
        <v>358068.5</v>
      </c>
      <c r="F50" s="57">
        <v>500000</v>
      </c>
      <c r="G50" s="57">
        <v>500000</v>
      </c>
    </row>
    <row r="51" spans="1:9" ht="18">
      <c r="A51" s="359" t="s">
        <v>416</v>
      </c>
      <c r="B51" s="360" t="s">
        <v>417</v>
      </c>
      <c r="C51" s="38">
        <v>10000000</v>
      </c>
      <c r="D51" s="38">
        <v>7562348.3200000003</v>
      </c>
      <c r="E51" s="38">
        <f t="shared" si="5"/>
        <v>2437651.6799999997</v>
      </c>
      <c r="F51" s="57">
        <v>10000000</v>
      </c>
      <c r="G51" s="57">
        <v>5000000</v>
      </c>
    </row>
    <row r="52" spans="1:9" ht="18">
      <c r="A52" s="338" t="s">
        <v>102</v>
      </c>
      <c r="B52" s="339" t="s">
        <v>103</v>
      </c>
      <c r="C52" s="38">
        <v>1984454.58</v>
      </c>
      <c r="D52" s="38">
        <v>0</v>
      </c>
      <c r="E52" s="38">
        <f t="shared" si="5"/>
        <v>2000000</v>
      </c>
      <c r="F52" s="57">
        <v>2000000</v>
      </c>
      <c r="G52" s="57">
        <v>5000000</v>
      </c>
    </row>
    <row r="53" spans="1:9" ht="18">
      <c r="A53" s="359" t="s">
        <v>108</v>
      </c>
      <c r="B53" s="360" t="s">
        <v>109</v>
      </c>
      <c r="C53" s="38"/>
      <c r="D53" s="38"/>
      <c r="E53" s="38"/>
      <c r="F53" s="83"/>
      <c r="G53" s="83"/>
    </row>
    <row r="54" spans="1:9" ht="36.75" thickBot="1">
      <c r="A54" s="539" t="s">
        <v>418</v>
      </c>
      <c r="B54" s="409"/>
      <c r="C54" s="143">
        <v>0</v>
      </c>
      <c r="D54" s="143">
        <v>0</v>
      </c>
      <c r="E54" s="143">
        <v>0</v>
      </c>
      <c r="F54" s="785">
        <v>5000000</v>
      </c>
      <c r="G54" s="785">
        <v>0</v>
      </c>
    </row>
    <row r="55" spans="1:9" ht="19.5" thickTop="1" thickBot="1">
      <c r="A55" s="351" t="s">
        <v>162</v>
      </c>
      <c r="B55" s="367"/>
      <c r="C55" s="112">
        <f>SUM(C35:C52)</f>
        <v>131695949.57999998</v>
      </c>
      <c r="D55" s="112">
        <f>SUM(D34:D54)</f>
        <v>54078702.570000008</v>
      </c>
      <c r="E55" s="112">
        <f>SUM(E34:E52)</f>
        <v>79646305.99000001</v>
      </c>
      <c r="F55" s="112">
        <f>SUM(F34:F54)</f>
        <v>138725008.56</v>
      </c>
      <c r="G55" s="112">
        <f>SUM(G34:G54)</f>
        <v>104050498.88</v>
      </c>
    </row>
    <row r="56" spans="1:9" ht="18.75" thickTop="1">
      <c r="A56" s="355" t="s">
        <v>163</v>
      </c>
      <c r="B56" s="436"/>
      <c r="C56" s="91"/>
      <c r="D56" s="91"/>
      <c r="E56" s="91"/>
      <c r="F56" s="229"/>
      <c r="G56" s="777"/>
    </row>
    <row r="57" spans="1:9" ht="18.75" thickBot="1">
      <c r="A57" s="770"/>
      <c r="B57" s="906"/>
      <c r="C57" s="97"/>
      <c r="D57" s="97"/>
      <c r="E57" s="97"/>
      <c r="F57" s="907"/>
      <c r="G57" s="99"/>
    </row>
    <row r="58" spans="1:9" ht="19.5" thickTop="1" thickBot="1">
      <c r="A58" s="351" t="s">
        <v>171</v>
      </c>
      <c r="B58" s="367"/>
      <c r="C58" s="112">
        <f>SUM(C57:C57)</f>
        <v>0</v>
      </c>
      <c r="D58" s="112">
        <f>SUM(D57:D57)</f>
        <v>0</v>
      </c>
      <c r="E58" s="112">
        <f>SUM(E57:E57)</f>
        <v>0</v>
      </c>
      <c r="F58" s="112">
        <f>SUM(F57:F57)</f>
        <v>0</v>
      </c>
      <c r="G58" s="112">
        <f>SUM(G57:G57)</f>
        <v>0</v>
      </c>
    </row>
    <row r="59" spans="1:9" ht="19.5" thickTop="1" thickBot="1">
      <c r="A59" s="351" t="s">
        <v>181</v>
      </c>
      <c r="B59" s="367"/>
      <c r="C59" s="112">
        <f>C58+C55+C32</f>
        <v>157676028.59999999</v>
      </c>
      <c r="D59" s="112">
        <f>D58+D55+D32</f>
        <v>66339113.860000007</v>
      </c>
      <c r="E59" s="112">
        <f>E58+E55+E32</f>
        <v>100843428.26000001</v>
      </c>
      <c r="F59" s="112">
        <f>F58+F55+F32</f>
        <v>172182542.12</v>
      </c>
      <c r="G59" s="112">
        <f>G58+G55+G32</f>
        <v>141221944.54944101</v>
      </c>
      <c r="I59" s="544"/>
    </row>
    <row r="60" spans="1:9" ht="18.75" thickTop="1">
      <c r="A60" s="524"/>
      <c r="B60" s="773"/>
      <c r="C60" s="908"/>
      <c r="D60" s="908"/>
      <c r="E60" s="908"/>
      <c r="F60" s="908"/>
      <c r="G60" s="908"/>
    </row>
    <row r="61" spans="1:9" ht="18">
      <c r="A61" s="524"/>
      <c r="B61" s="773"/>
      <c r="C61" s="908"/>
      <c r="D61" s="908"/>
      <c r="E61" s="908"/>
      <c r="F61" s="908"/>
      <c r="G61" s="908"/>
    </row>
    <row r="62" spans="1:9" ht="18">
      <c r="A62" s="524"/>
      <c r="B62" s="773"/>
      <c r="C62" s="908"/>
      <c r="D62" s="908"/>
      <c r="E62" s="908"/>
      <c r="F62" s="908"/>
      <c r="G62" s="908"/>
    </row>
    <row r="63" spans="1:9" ht="18">
      <c r="A63" s="317"/>
      <c r="B63" s="317"/>
      <c r="C63" s="146"/>
      <c r="D63" s="146"/>
      <c r="E63" s="146"/>
      <c r="F63" s="146"/>
      <c r="G63" s="146"/>
    </row>
    <row r="64" spans="1:9" ht="18">
      <c r="A64" s="317" t="s">
        <v>183</v>
      </c>
      <c r="B64" s="317" t="s">
        <v>184</v>
      </c>
      <c r="C64" s="577"/>
      <c r="D64" s="577"/>
      <c r="E64" s="577"/>
      <c r="F64" s="577" t="s">
        <v>185</v>
      </c>
      <c r="G64" s="317"/>
    </row>
    <row r="65" spans="1:7" ht="18">
      <c r="A65" s="317"/>
      <c r="B65" s="317"/>
      <c r="C65" s="577"/>
      <c r="D65" s="577"/>
      <c r="E65" s="577"/>
      <c r="F65" s="577"/>
      <c r="G65" s="317"/>
    </row>
    <row r="66" spans="1:7" ht="18">
      <c r="A66" s="317"/>
      <c r="B66" s="317"/>
      <c r="C66" s="577"/>
      <c r="D66" s="577"/>
      <c r="E66" s="577"/>
      <c r="F66" s="317"/>
      <c r="G66" s="317"/>
    </row>
    <row r="67" spans="1:7" ht="18">
      <c r="A67" s="317"/>
      <c r="B67" s="317"/>
      <c r="C67" s="577"/>
      <c r="D67" s="577"/>
      <c r="E67" s="577"/>
      <c r="F67" s="317"/>
      <c r="G67" s="317"/>
    </row>
    <row r="68" spans="1:7" ht="18">
      <c r="A68" s="309" t="s">
        <v>421</v>
      </c>
      <c r="B68" s="1239" t="s">
        <v>187</v>
      </c>
      <c r="C68" s="1239"/>
      <c r="D68" s="1239"/>
      <c r="E68" s="369"/>
      <c r="F68" s="1240" t="s">
        <v>188</v>
      </c>
      <c r="G68" s="1240"/>
    </row>
    <row r="69" spans="1:7" ht="20.25" customHeight="1">
      <c r="A69" s="371" t="s">
        <v>422</v>
      </c>
      <c r="B69" s="1235" t="s">
        <v>190</v>
      </c>
      <c r="C69" s="1235"/>
      <c r="D69" s="1235"/>
      <c r="E69" s="372"/>
      <c r="F69" s="1237" t="s">
        <v>191</v>
      </c>
      <c r="G69" s="1237"/>
    </row>
    <row r="70" spans="1:7" ht="18">
      <c r="A70" s="317"/>
      <c r="B70" s="317"/>
      <c r="C70" s="577"/>
      <c r="D70" s="577"/>
      <c r="E70" s="577"/>
      <c r="F70" s="317"/>
      <c r="G70" s="317"/>
    </row>
    <row r="71" spans="1:7" ht="18">
      <c r="A71" s="317"/>
      <c r="B71" s="317"/>
      <c r="C71" s="577"/>
      <c r="D71" s="577"/>
      <c r="E71" s="577"/>
      <c r="F71" s="317"/>
      <c r="G71" s="317"/>
    </row>
    <row r="72" spans="1:7" ht="16.5">
      <c r="A72" s="1238" t="s">
        <v>194</v>
      </c>
      <c r="B72" s="1238"/>
      <c r="C72" s="1238"/>
      <c r="D72" s="1238"/>
      <c r="E72" s="1238"/>
      <c r="F72" s="1238"/>
      <c r="G72" s="1238"/>
    </row>
    <row r="73" spans="1:7" ht="18">
      <c r="A73" s="317"/>
      <c r="B73" s="317"/>
      <c r="C73" s="577"/>
      <c r="D73" s="577"/>
      <c r="E73" s="577"/>
      <c r="F73" s="317"/>
      <c r="G73" s="317"/>
    </row>
    <row r="74" spans="1:7" ht="18">
      <c r="A74" s="317"/>
      <c r="B74" s="317"/>
      <c r="C74" s="577"/>
      <c r="D74" s="577"/>
      <c r="E74" s="577"/>
      <c r="F74" s="317"/>
      <c r="G74" s="317"/>
    </row>
    <row r="75" spans="1:7" ht="18">
      <c r="A75" s="317"/>
      <c r="B75" s="317"/>
      <c r="C75" s="577"/>
      <c r="D75" s="577"/>
      <c r="E75" s="577"/>
      <c r="F75" s="317"/>
      <c r="G75" s="317"/>
    </row>
    <row r="76" spans="1:7" ht="18">
      <c r="A76" s="317"/>
      <c r="B76" s="317"/>
      <c r="C76" s="577"/>
      <c r="D76" s="577"/>
      <c r="E76" s="577"/>
      <c r="F76" s="317"/>
      <c r="G76" s="317"/>
    </row>
    <row r="77" spans="1:7" ht="18">
      <c r="A77" s="317"/>
      <c r="B77" s="317"/>
      <c r="C77" s="577"/>
      <c r="D77" s="577"/>
      <c r="E77" s="577"/>
      <c r="F77" s="317"/>
      <c r="G77" s="317"/>
    </row>
    <row r="78" spans="1:7" ht="18">
      <c r="A78" s="317"/>
      <c r="B78" s="317"/>
      <c r="C78" s="577"/>
      <c r="D78" s="577"/>
      <c r="E78" s="577"/>
      <c r="F78" s="317"/>
      <c r="G78" s="317"/>
    </row>
    <row r="79" spans="1:7" ht="18">
      <c r="A79" s="317"/>
      <c r="B79" s="317"/>
      <c r="C79" s="577"/>
      <c r="D79" s="577"/>
      <c r="E79" s="577"/>
      <c r="F79" s="317"/>
      <c r="G79" s="317"/>
    </row>
    <row r="80" spans="1:7" ht="18">
      <c r="A80" s="317"/>
      <c r="B80" s="317"/>
      <c r="C80" s="577"/>
      <c r="D80" s="577"/>
      <c r="E80" s="577"/>
      <c r="F80" s="317"/>
      <c r="G80" s="317"/>
    </row>
    <row r="81" spans="1:7" ht="18">
      <c r="A81" s="317"/>
      <c r="B81" s="317"/>
      <c r="C81" s="577"/>
      <c r="D81" s="577"/>
      <c r="E81" s="577"/>
      <c r="F81" s="317"/>
      <c r="G81" s="317"/>
    </row>
    <row r="82" spans="1:7" ht="18">
      <c r="A82" s="317"/>
      <c r="B82" s="317"/>
      <c r="C82" s="577"/>
      <c r="D82" s="577"/>
      <c r="E82" s="577"/>
      <c r="F82" s="318"/>
      <c r="G82" s="318"/>
    </row>
    <row r="83" spans="1:7" ht="18">
      <c r="A83" s="317"/>
      <c r="B83" s="317"/>
      <c r="C83" s="577"/>
      <c r="D83" s="577"/>
      <c r="E83" s="577"/>
      <c r="F83" s="317"/>
      <c r="G83" s="317"/>
    </row>
    <row r="84" spans="1:7" ht="18">
      <c r="A84" s="317"/>
      <c r="B84" s="317"/>
      <c r="C84" s="577"/>
      <c r="D84" s="577"/>
      <c r="E84" s="577"/>
      <c r="F84" s="317"/>
      <c r="G84" s="317"/>
    </row>
    <row r="85" spans="1:7" ht="18">
      <c r="A85" s="317"/>
      <c r="B85" s="317"/>
      <c r="C85" s="577"/>
      <c r="D85" s="577"/>
      <c r="E85" s="577"/>
      <c r="F85" s="317"/>
      <c r="G85" s="317"/>
    </row>
    <row r="86" spans="1:7" ht="18">
      <c r="A86" s="317"/>
      <c r="B86" s="317"/>
      <c r="C86" s="577"/>
      <c r="D86" s="577"/>
      <c r="E86" s="577"/>
      <c r="F86" s="317"/>
      <c r="G86" s="317"/>
    </row>
    <row r="87" spans="1:7" ht="18">
      <c r="A87" s="317"/>
      <c r="B87" s="317"/>
      <c r="C87" s="577"/>
      <c r="D87" s="577"/>
      <c r="E87" s="577"/>
      <c r="F87" s="317"/>
      <c r="G87" s="317"/>
    </row>
    <row r="88" spans="1:7" ht="18">
      <c r="A88" s="317"/>
      <c r="B88" s="317"/>
      <c r="C88" s="577"/>
      <c r="D88" s="577"/>
      <c r="E88" s="577"/>
      <c r="F88" s="317"/>
      <c r="G88" s="317"/>
    </row>
    <row r="89" spans="1:7" ht="18">
      <c r="A89" s="317"/>
      <c r="B89" s="317"/>
      <c r="C89" s="577"/>
      <c r="D89" s="577"/>
      <c r="E89" s="577"/>
      <c r="F89" s="317"/>
      <c r="G89" s="317"/>
    </row>
    <row r="90" spans="1:7" ht="18">
      <c r="A90" s="317"/>
      <c r="B90" s="317"/>
      <c r="C90" s="577"/>
      <c r="D90" s="577"/>
      <c r="E90" s="577"/>
      <c r="F90" s="317"/>
      <c r="G90" s="317"/>
    </row>
    <row r="91" spans="1:7" ht="18">
      <c r="A91" s="317"/>
      <c r="B91" s="317"/>
      <c r="C91" s="577"/>
      <c r="D91" s="577"/>
      <c r="E91" s="577"/>
      <c r="F91" s="317"/>
      <c r="G91" s="317"/>
    </row>
    <row r="92" spans="1:7" ht="18">
      <c r="A92" s="317"/>
      <c r="B92" s="317"/>
      <c r="C92" s="577"/>
      <c r="D92" s="577"/>
      <c r="E92" s="577"/>
      <c r="F92" s="317"/>
      <c r="G92" s="317"/>
    </row>
    <row r="93" spans="1:7" ht="18">
      <c r="A93" s="317"/>
      <c r="B93" s="317"/>
      <c r="C93" s="577"/>
      <c r="D93" s="577"/>
      <c r="E93" s="577"/>
      <c r="F93" s="317"/>
      <c r="G93" s="317"/>
    </row>
    <row r="94" spans="1:7" ht="18">
      <c r="A94" s="317"/>
      <c r="B94" s="317"/>
      <c r="C94" s="577"/>
      <c r="D94" s="577"/>
      <c r="E94" s="577"/>
      <c r="F94" s="317"/>
      <c r="G94" s="317"/>
    </row>
    <row r="95" spans="1:7" ht="18">
      <c r="A95" s="317"/>
      <c r="B95" s="317"/>
      <c r="C95" s="577"/>
      <c r="D95" s="577"/>
      <c r="E95" s="577"/>
      <c r="F95" s="317"/>
      <c r="G95" s="317"/>
    </row>
    <row r="96" spans="1:7" ht="18">
      <c r="A96" s="317"/>
      <c r="B96" s="317"/>
      <c r="C96" s="577"/>
      <c r="D96" s="577"/>
      <c r="E96" s="577"/>
      <c r="F96" s="317"/>
      <c r="G96" s="317"/>
    </row>
    <row r="97" spans="1:7" ht="18">
      <c r="A97" s="317"/>
      <c r="B97" s="317"/>
      <c r="C97" s="577"/>
      <c r="D97" s="577"/>
      <c r="E97" s="577"/>
      <c r="F97" s="317"/>
      <c r="G97" s="317"/>
    </row>
    <row r="98" spans="1:7" ht="18">
      <c r="A98" s="317"/>
      <c r="B98" s="317"/>
      <c r="C98" s="577"/>
      <c r="D98" s="577"/>
      <c r="E98" s="577"/>
      <c r="F98" s="317"/>
      <c r="G98" s="317"/>
    </row>
    <row r="99" spans="1:7" ht="18">
      <c r="A99" s="317"/>
      <c r="B99" s="317"/>
      <c r="C99" s="577"/>
      <c r="D99" s="577"/>
      <c r="E99" s="577"/>
      <c r="F99" s="317"/>
      <c r="G99" s="317"/>
    </row>
    <row r="100" spans="1:7" ht="18">
      <c r="A100" s="317"/>
      <c r="B100" s="317"/>
      <c r="C100" s="577"/>
      <c r="D100" s="577"/>
      <c r="E100" s="577"/>
      <c r="F100" s="317"/>
      <c r="G100" s="317"/>
    </row>
    <row r="101" spans="1:7" ht="18">
      <c r="A101" s="317"/>
      <c r="B101" s="317"/>
      <c r="C101" s="577"/>
      <c r="D101" s="577"/>
      <c r="E101" s="577"/>
      <c r="F101" s="317"/>
      <c r="G101" s="317"/>
    </row>
    <row r="102" spans="1:7" ht="18">
      <c r="A102" s="317"/>
      <c r="B102" s="317"/>
      <c r="C102" s="577"/>
      <c r="D102" s="577"/>
      <c r="E102" s="577"/>
      <c r="F102" s="317"/>
      <c r="G102" s="317"/>
    </row>
    <row r="103" spans="1:7" ht="18">
      <c r="A103" s="317"/>
      <c r="B103" s="317"/>
      <c r="C103" s="577"/>
      <c r="D103" s="577"/>
      <c r="E103" s="577"/>
      <c r="F103" s="317"/>
      <c r="G103" s="317"/>
    </row>
    <row r="104" spans="1:7" ht="18">
      <c r="A104" s="317"/>
      <c r="B104" s="317"/>
      <c r="C104" s="577"/>
      <c r="D104" s="577"/>
      <c r="E104" s="577"/>
      <c r="F104" s="317"/>
      <c r="G104" s="317"/>
    </row>
    <row r="105" spans="1:7" ht="18">
      <c r="A105" s="317"/>
      <c r="B105" s="317"/>
      <c r="C105" s="577"/>
      <c r="D105" s="577"/>
      <c r="E105" s="577"/>
      <c r="F105" s="317"/>
      <c r="G105" s="317"/>
    </row>
    <row r="106" spans="1:7" ht="18">
      <c r="A106" s="317"/>
      <c r="B106" s="317"/>
      <c r="C106" s="577"/>
      <c r="D106" s="577"/>
      <c r="E106" s="577"/>
      <c r="F106" s="317"/>
      <c r="G106" s="317"/>
    </row>
    <row r="107" spans="1:7" ht="18">
      <c r="A107" s="317"/>
      <c r="B107" s="317"/>
      <c r="C107" s="577"/>
      <c r="D107" s="577"/>
      <c r="E107" s="577"/>
      <c r="F107" s="317"/>
      <c r="G107" s="317"/>
    </row>
    <row r="108" spans="1:7" ht="18">
      <c r="A108" s="317"/>
      <c r="B108" s="317"/>
      <c r="C108" s="577"/>
      <c r="D108" s="577"/>
      <c r="E108" s="577"/>
      <c r="F108" s="317"/>
      <c r="G108" s="317"/>
    </row>
    <row r="109" spans="1:7" ht="18">
      <c r="A109" s="317"/>
      <c r="B109" s="317"/>
      <c r="C109" s="577"/>
      <c r="D109" s="577"/>
      <c r="E109" s="577"/>
      <c r="F109" s="317"/>
      <c r="G109" s="317"/>
    </row>
    <row r="110" spans="1:7" ht="18">
      <c r="A110" s="317"/>
      <c r="B110" s="317"/>
      <c r="C110" s="577"/>
      <c r="D110" s="577"/>
      <c r="E110" s="577"/>
      <c r="F110" s="317"/>
      <c r="G110" s="317"/>
    </row>
    <row r="111" spans="1:7" ht="18">
      <c r="A111" s="317"/>
      <c r="B111" s="317"/>
      <c r="C111" s="577"/>
      <c r="D111" s="577"/>
      <c r="E111" s="577"/>
      <c r="F111" s="317"/>
      <c r="G111" s="317"/>
    </row>
    <row r="112" spans="1:7" ht="18">
      <c r="A112" s="317"/>
      <c r="B112" s="317"/>
      <c r="C112" s="577"/>
      <c r="D112" s="577"/>
      <c r="E112" s="577"/>
      <c r="F112" s="317"/>
      <c r="G112" s="317"/>
    </row>
    <row r="113" spans="1:7" ht="18">
      <c r="A113" s="317"/>
      <c r="B113" s="317"/>
      <c r="C113" s="577"/>
      <c r="D113" s="577"/>
      <c r="E113" s="577"/>
      <c r="F113" s="317"/>
      <c r="G113" s="317"/>
    </row>
    <row r="114" spans="1:7" ht="18">
      <c r="A114" s="317"/>
      <c r="B114" s="317"/>
      <c r="C114" s="577"/>
      <c r="D114" s="577"/>
      <c r="E114" s="577"/>
      <c r="F114" s="317"/>
      <c r="G114" s="317"/>
    </row>
    <row r="115" spans="1:7" ht="18">
      <c r="A115" s="317"/>
      <c r="B115" s="317"/>
      <c r="C115" s="577"/>
      <c r="D115" s="577"/>
      <c r="E115" s="577"/>
      <c r="F115" s="317"/>
      <c r="G115" s="317"/>
    </row>
    <row r="116" spans="1:7" ht="18">
      <c r="A116" s="317"/>
      <c r="B116" s="317"/>
      <c r="C116" s="577"/>
      <c r="D116" s="577"/>
      <c r="E116" s="577"/>
      <c r="F116" s="317"/>
      <c r="G116" s="317"/>
    </row>
    <row r="117" spans="1:7" ht="18">
      <c r="A117" s="317"/>
      <c r="B117" s="317"/>
      <c r="C117" s="577"/>
      <c r="D117" s="577"/>
      <c r="E117" s="577"/>
      <c r="F117" s="317"/>
      <c r="G117" s="317"/>
    </row>
    <row r="118" spans="1:7" ht="18">
      <c r="A118" s="317"/>
      <c r="B118" s="317"/>
      <c r="C118" s="577"/>
      <c r="D118" s="577"/>
      <c r="E118" s="577"/>
      <c r="F118" s="317"/>
      <c r="G118" s="317"/>
    </row>
    <row r="119" spans="1:7" ht="18">
      <c r="A119" s="317"/>
      <c r="B119" s="317"/>
      <c r="C119" s="577"/>
      <c r="D119" s="577"/>
      <c r="E119" s="577"/>
      <c r="F119" s="317"/>
      <c r="G119" s="317"/>
    </row>
    <row r="120" spans="1:7" ht="18">
      <c r="A120" s="317"/>
      <c r="B120" s="317"/>
      <c r="C120" s="577"/>
      <c r="D120" s="577"/>
      <c r="E120" s="577"/>
      <c r="F120" s="317"/>
      <c r="G120" s="317"/>
    </row>
    <row r="121" spans="1:7" ht="18">
      <c r="A121" s="317"/>
      <c r="B121" s="317"/>
      <c r="C121" s="577"/>
      <c r="D121" s="577"/>
      <c r="E121" s="577"/>
      <c r="F121" s="317"/>
      <c r="G121" s="317"/>
    </row>
    <row r="122" spans="1:7" ht="18">
      <c r="A122" s="317"/>
      <c r="B122" s="317"/>
      <c r="C122" s="577"/>
      <c r="D122" s="577"/>
      <c r="E122" s="577"/>
      <c r="F122" s="317"/>
      <c r="G122" s="317"/>
    </row>
    <row r="123" spans="1:7" ht="18">
      <c r="A123" s="317"/>
      <c r="B123" s="317"/>
      <c r="C123" s="577"/>
      <c r="D123" s="577"/>
      <c r="E123" s="577"/>
      <c r="F123" s="317"/>
      <c r="G123" s="317"/>
    </row>
    <row r="124" spans="1:7" ht="18">
      <c r="A124" s="317"/>
      <c r="B124" s="317"/>
      <c r="C124" s="577"/>
      <c r="D124" s="577"/>
      <c r="E124" s="577"/>
      <c r="F124" s="317"/>
      <c r="G124" s="317"/>
    </row>
    <row r="125" spans="1:7" ht="18">
      <c r="A125" s="317"/>
      <c r="B125" s="317"/>
      <c r="C125" s="577"/>
      <c r="D125" s="577"/>
      <c r="E125" s="577"/>
      <c r="F125" s="317"/>
      <c r="G125" s="317"/>
    </row>
    <row r="126" spans="1:7" ht="18">
      <c r="A126" s="317"/>
      <c r="B126" s="317"/>
      <c r="C126" s="577"/>
      <c r="D126" s="577"/>
      <c r="E126" s="577"/>
      <c r="F126" s="317"/>
      <c r="G126" s="317"/>
    </row>
    <row r="127" spans="1:7" ht="18">
      <c r="A127" s="317"/>
      <c r="B127" s="317"/>
      <c r="C127" s="577"/>
      <c r="D127" s="577"/>
      <c r="E127" s="577"/>
      <c r="F127" s="317"/>
      <c r="G127" s="317"/>
    </row>
    <row r="128" spans="1:7" ht="18">
      <c r="A128" s="317"/>
      <c r="B128" s="317"/>
      <c r="C128" s="577"/>
      <c r="D128" s="577"/>
      <c r="E128" s="577"/>
      <c r="F128" s="317"/>
      <c r="G128" s="317"/>
    </row>
    <row r="129" spans="1:7" ht="18">
      <c r="A129" s="317"/>
      <c r="B129" s="317"/>
      <c r="C129" s="577"/>
      <c r="D129" s="577"/>
      <c r="E129" s="577"/>
      <c r="F129" s="317"/>
      <c r="G129" s="317"/>
    </row>
    <row r="130" spans="1:7" ht="18">
      <c r="A130" s="317"/>
      <c r="B130" s="317"/>
      <c r="C130" s="577"/>
      <c r="D130" s="577"/>
      <c r="E130" s="577"/>
      <c r="F130" s="317"/>
      <c r="G130" s="317"/>
    </row>
    <row r="131" spans="1:7" ht="18">
      <c r="A131" s="317"/>
      <c r="B131" s="317"/>
      <c r="C131" s="577"/>
      <c r="D131" s="577"/>
      <c r="E131" s="577"/>
      <c r="F131" s="317"/>
      <c r="G131" s="317"/>
    </row>
    <row r="132" spans="1:7" ht="18">
      <c r="A132" s="317"/>
      <c r="B132" s="317"/>
      <c r="C132" s="577"/>
      <c r="D132" s="577"/>
      <c r="E132" s="577"/>
      <c r="F132" s="317"/>
      <c r="G132" s="317"/>
    </row>
    <row r="133" spans="1:7" ht="18">
      <c r="A133" s="317"/>
      <c r="B133" s="317"/>
      <c r="C133" s="577"/>
      <c r="D133" s="577"/>
      <c r="E133" s="577"/>
      <c r="F133" s="317"/>
      <c r="G133" s="317"/>
    </row>
    <row r="134" spans="1:7" ht="18">
      <c r="A134" s="317"/>
      <c r="B134" s="317"/>
      <c r="C134" s="577"/>
      <c r="D134" s="577"/>
      <c r="E134" s="577"/>
      <c r="F134" s="317"/>
      <c r="G134" s="317"/>
    </row>
    <row r="135" spans="1:7" ht="18">
      <c r="A135" s="317"/>
      <c r="B135" s="317"/>
      <c r="C135" s="577"/>
      <c r="D135" s="577"/>
      <c r="E135" s="577"/>
      <c r="F135" s="317"/>
      <c r="G135" s="317"/>
    </row>
    <row r="136" spans="1:7" ht="18">
      <c r="A136" s="317"/>
      <c r="B136" s="317"/>
      <c r="C136" s="577"/>
      <c r="D136" s="577"/>
      <c r="E136" s="577"/>
      <c r="F136" s="317"/>
      <c r="G136" s="317"/>
    </row>
    <row r="137" spans="1:7" ht="18">
      <c r="A137" s="317"/>
      <c r="B137" s="317"/>
      <c r="C137" s="577"/>
      <c r="D137" s="577"/>
      <c r="E137" s="577"/>
      <c r="F137" s="317"/>
      <c r="G137" s="317"/>
    </row>
    <row r="138" spans="1:7" ht="18">
      <c r="A138" s="317"/>
      <c r="B138" s="317"/>
      <c r="C138" s="577"/>
      <c r="D138" s="577"/>
      <c r="E138" s="577"/>
      <c r="F138" s="317"/>
      <c r="G138" s="317"/>
    </row>
    <row r="139" spans="1:7" ht="18">
      <c r="A139" s="317"/>
      <c r="B139" s="317"/>
      <c r="C139" s="577"/>
      <c r="D139" s="577"/>
      <c r="E139" s="577"/>
      <c r="F139" s="317"/>
      <c r="G139" s="317"/>
    </row>
    <row r="140" spans="1:7" ht="18">
      <c r="A140" s="317"/>
      <c r="B140" s="317"/>
      <c r="C140" s="577"/>
      <c r="D140" s="577"/>
      <c r="E140" s="577"/>
      <c r="F140" s="317"/>
      <c r="G140" s="317"/>
    </row>
    <row r="141" spans="1:7" ht="18">
      <c r="A141" s="317"/>
      <c r="B141" s="317"/>
      <c r="C141" s="577"/>
      <c r="D141" s="577"/>
      <c r="E141" s="577"/>
      <c r="F141" s="317"/>
      <c r="G141" s="317"/>
    </row>
    <row r="142" spans="1:7" ht="18">
      <c r="A142" s="317"/>
      <c r="B142" s="317"/>
      <c r="C142" s="577"/>
      <c r="D142" s="577"/>
      <c r="E142" s="577"/>
      <c r="F142" s="317"/>
      <c r="G142" s="317"/>
    </row>
    <row r="143" spans="1:7" ht="18">
      <c r="A143" s="317"/>
      <c r="B143" s="317"/>
      <c r="C143" s="577"/>
      <c r="D143" s="577"/>
      <c r="E143" s="577"/>
      <c r="F143" s="317"/>
      <c r="G143" s="317"/>
    </row>
    <row r="144" spans="1:7" ht="18">
      <c r="A144" s="317"/>
      <c r="B144" s="317"/>
      <c r="C144" s="577"/>
      <c r="D144" s="577"/>
      <c r="E144" s="577"/>
      <c r="F144" s="317"/>
      <c r="G144" s="317"/>
    </row>
    <row r="145" spans="1:7" ht="18">
      <c r="A145" s="317"/>
      <c r="B145" s="317"/>
      <c r="C145" s="577"/>
      <c r="D145" s="577"/>
      <c r="E145" s="577"/>
      <c r="F145" s="317"/>
      <c r="G145" s="317"/>
    </row>
    <row r="146" spans="1:7" ht="18">
      <c r="A146" s="317"/>
      <c r="B146" s="317"/>
      <c r="C146" s="577"/>
      <c r="D146" s="577"/>
      <c r="E146" s="577"/>
      <c r="F146" s="317"/>
      <c r="G146" s="317"/>
    </row>
    <row r="147" spans="1:7" ht="18">
      <c r="A147" s="317"/>
      <c r="B147" s="317"/>
      <c r="C147" s="577"/>
      <c r="D147" s="577"/>
      <c r="E147" s="577"/>
      <c r="F147" s="317"/>
      <c r="G147" s="317"/>
    </row>
    <row r="148" spans="1:7" ht="18">
      <c r="A148" s="317"/>
      <c r="B148" s="317"/>
      <c r="C148" s="577"/>
      <c r="D148" s="577"/>
      <c r="E148" s="577"/>
      <c r="F148" s="317"/>
      <c r="G148" s="317"/>
    </row>
    <row r="149" spans="1:7" ht="18">
      <c r="A149" s="317"/>
      <c r="B149" s="317"/>
      <c r="C149" s="577"/>
      <c r="D149" s="577"/>
      <c r="E149" s="577"/>
      <c r="F149" s="317"/>
      <c r="G149" s="317"/>
    </row>
    <row r="150" spans="1:7" ht="18">
      <c r="A150" s="317"/>
      <c r="B150" s="317"/>
      <c r="C150" s="577"/>
      <c r="D150" s="577"/>
      <c r="E150" s="577"/>
      <c r="F150" s="317"/>
      <c r="G150" s="317"/>
    </row>
    <row r="151" spans="1:7" ht="18">
      <c r="A151" s="317"/>
      <c r="B151" s="317"/>
      <c r="C151" s="577"/>
      <c r="D151" s="577"/>
      <c r="E151" s="577"/>
      <c r="F151" s="317"/>
      <c r="G151" s="317"/>
    </row>
    <row r="152" spans="1:7" ht="18">
      <c r="A152" s="317"/>
      <c r="B152" s="317"/>
      <c r="C152" s="577"/>
      <c r="D152" s="577"/>
      <c r="E152" s="577"/>
      <c r="F152" s="317"/>
      <c r="G152" s="317"/>
    </row>
    <row r="153" spans="1:7" ht="18">
      <c r="A153" s="317"/>
      <c r="B153" s="317"/>
      <c r="C153" s="577"/>
      <c r="D153" s="577"/>
      <c r="E153" s="577"/>
      <c r="F153" s="317"/>
      <c r="G153" s="317"/>
    </row>
    <row r="154" spans="1:7" ht="18">
      <c r="A154" s="317"/>
      <c r="B154" s="317"/>
      <c r="C154" s="577"/>
      <c r="D154" s="577"/>
      <c r="E154" s="577"/>
      <c r="F154" s="317"/>
      <c r="G154" s="317"/>
    </row>
    <row r="155" spans="1:7" ht="18">
      <c r="A155" s="317"/>
      <c r="B155" s="317"/>
      <c r="C155" s="577"/>
      <c r="D155" s="577"/>
      <c r="E155" s="577"/>
      <c r="F155" s="317"/>
      <c r="G155" s="317"/>
    </row>
    <row r="156" spans="1:7" ht="18">
      <c r="A156" s="317"/>
      <c r="B156" s="317"/>
      <c r="C156" s="577"/>
      <c r="D156" s="577"/>
      <c r="E156" s="577"/>
      <c r="F156" s="317"/>
      <c r="G156" s="317"/>
    </row>
    <row r="157" spans="1:7" ht="18">
      <c r="A157" s="317"/>
      <c r="B157" s="317"/>
      <c r="C157" s="577"/>
      <c r="D157" s="577"/>
      <c r="E157" s="577"/>
      <c r="F157" s="317"/>
      <c r="G157" s="317"/>
    </row>
    <row r="158" spans="1:7" ht="18">
      <c r="A158" s="317"/>
      <c r="B158" s="317"/>
      <c r="C158" s="577"/>
      <c r="D158" s="577"/>
      <c r="E158" s="577"/>
      <c r="F158" s="317"/>
      <c r="G158" s="317"/>
    </row>
    <row r="159" spans="1:7" ht="18">
      <c r="A159" s="317"/>
      <c r="B159" s="317"/>
      <c r="C159" s="577"/>
      <c r="D159" s="577"/>
      <c r="E159" s="577"/>
      <c r="F159" s="317"/>
      <c r="G159" s="317"/>
    </row>
    <row r="160" spans="1:7" ht="18">
      <c r="A160" s="317"/>
      <c r="B160" s="317"/>
      <c r="C160" s="577"/>
      <c r="D160" s="577"/>
      <c r="E160" s="577"/>
      <c r="F160" s="317"/>
      <c r="G160" s="317"/>
    </row>
    <row r="161" spans="1:7" ht="18">
      <c r="A161" s="317"/>
      <c r="B161" s="317"/>
      <c r="C161" s="577"/>
      <c r="D161" s="577"/>
      <c r="E161" s="577"/>
      <c r="F161" s="317"/>
      <c r="G161" s="317"/>
    </row>
    <row r="162" spans="1:7" ht="18">
      <c r="A162" s="317"/>
      <c r="B162" s="317"/>
      <c r="C162" s="577"/>
      <c r="D162" s="577"/>
      <c r="E162" s="577"/>
      <c r="F162" s="317"/>
      <c r="G162" s="317"/>
    </row>
    <row r="163" spans="1:7" ht="18">
      <c r="A163" s="317"/>
      <c r="B163" s="317"/>
      <c r="C163" s="577"/>
      <c r="D163" s="577"/>
      <c r="E163" s="577"/>
      <c r="F163" s="317"/>
      <c r="G163" s="317"/>
    </row>
    <row r="164" spans="1:7" ht="18">
      <c r="A164" s="317"/>
      <c r="B164" s="317"/>
      <c r="C164" s="577"/>
      <c r="D164" s="577"/>
      <c r="E164" s="577"/>
      <c r="F164" s="317"/>
      <c r="G164" s="317"/>
    </row>
    <row r="165" spans="1:7" ht="18">
      <c r="A165" s="317"/>
      <c r="B165" s="317"/>
      <c r="C165" s="577"/>
      <c r="D165" s="577"/>
      <c r="E165" s="577"/>
      <c r="F165" s="317"/>
      <c r="G165" s="317"/>
    </row>
    <row r="166" spans="1:7" ht="18">
      <c r="A166" s="317"/>
      <c r="B166" s="317"/>
      <c r="C166" s="577"/>
      <c r="D166" s="577"/>
      <c r="E166" s="577"/>
      <c r="F166" s="317"/>
      <c r="G166" s="317"/>
    </row>
    <row r="167" spans="1:7" ht="18">
      <c r="A167" s="317"/>
      <c r="B167" s="317"/>
      <c r="C167" s="577"/>
      <c r="D167" s="577"/>
      <c r="E167" s="577"/>
      <c r="F167" s="317"/>
      <c r="G167" s="317"/>
    </row>
    <row r="168" spans="1:7" ht="18">
      <c r="A168" s="317"/>
      <c r="B168" s="317"/>
      <c r="C168" s="577"/>
      <c r="D168" s="577"/>
      <c r="E168" s="577"/>
      <c r="F168" s="317"/>
      <c r="G168" s="317"/>
    </row>
    <row r="169" spans="1:7" ht="18">
      <c r="A169" s="317"/>
      <c r="B169" s="317"/>
      <c r="C169" s="577"/>
      <c r="D169" s="577"/>
      <c r="E169" s="577"/>
      <c r="F169" s="317"/>
      <c r="G169" s="317"/>
    </row>
    <row r="170" spans="1:7" ht="18">
      <c r="A170" s="317"/>
      <c r="B170" s="317"/>
      <c r="C170" s="577"/>
      <c r="D170" s="577"/>
      <c r="E170" s="577"/>
      <c r="F170" s="317"/>
      <c r="G170" s="317"/>
    </row>
    <row r="171" spans="1:7" ht="18">
      <c r="A171" s="317"/>
      <c r="B171" s="317"/>
      <c r="C171" s="577"/>
      <c r="D171" s="577"/>
      <c r="E171" s="577"/>
      <c r="F171" s="317"/>
      <c r="G171" s="317"/>
    </row>
    <row r="172" spans="1:7" ht="18">
      <c r="A172" s="317"/>
      <c r="B172" s="317"/>
      <c r="C172" s="577"/>
      <c r="D172" s="577"/>
      <c r="E172" s="577"/>
      <c r="F172" s="317"/>
      <c r="G172" s="317"/>
    </row>
    <row r="173" spans="1:7" ht="18">
      <c r="A173" s="317"/>
      <c r="B173" s="317"/>
      <c r="C173" s="577"/>
      <c r="D173" s="577"/>
      <c r="E173" s="577"/>
      <c r="F173" s="317"/>
      <c r="G173" s="317"/>
    </row>
    <row r="174" spans="1:7" ht="18">
      <c r="A174" s="317"/>
      <c r="B174" s="317"/>
      <c r="C174" s="577"/>
      <c r="D174" s="577"/>
      <c r="E174" s="577"/>
      <c r="F174" s="317"/>
      <c r="G174" s="317"/>
    </row>
    <row r="175" spans="1:7" ht="18">
      <c r="A175" s="317"/>
      <c r="B175" s="317"/>
      <c r="C175" s="577"/>
      <c r="D175" s="577"/>
      <c r="E175" s="577"/>
      <c r="F175" s="317"/>
      <c r="G175" s="317"/>
    </row>
    <row r="176" spans="1:7" ht="18">
      <c r="A176" s="317"/>
      <c r="B176" s="317"/>
      <c r="C176" s="577"/>
      <c r="D176" s="577"/>
      <c r="E176" s="577"/>
      <c r="F176" s="317"/>
      <c r="G176" s="317"/>
    </row>
    <row r="177" spans="1:7" ht="18">
      <c r="A177" s="317"/>
      <c r="B177" s="317"/>
      <c r="C177" s="577"/>
      <c r="D177" s="577"/>
      <c r="E177" s="577"/>
      <c r="F177" s="317"/>
      <c r="G177" s="317"/>
    </row>
    <row r="178" spans="1:7" ht="18">
      <c r="A178" s="317"/>
      <c r="B178" s="317"/>
      <c r="C178" s="577"/>
      <c r="D178" s="577"/>
      <c r="E178" s="577"/>
      <c r="F178" s="317"/>
      <c r="G178" s="317"/>
    </row>
    <row r="179" spans="1:7" ht="18">
      <c r="A179" s="317"/>
      <c r="B179" s="317"/>
      <c r="C179" s="577"/>
      <c r="D179" s="577"/>
      <c r="E179" s="577"/>
      <c r="F179" s="317"/>
      <c r="G179" s="317"/>
    </row>
    <row r="180" spans="1:7" ht="18">
      <c r="A180" s="317"/>
      <c r="B180" s="317"/>
      <c r="C180" s="577"/>
      <c r="D180" s="577"/>
      <c r="E180" s="577"/>
      <c r="F180" s="317"/>
      <c r="G180" s="317"/>
    </row>
    <row r="181" spans="1:7" ht="18">
      <c r="A181" s="317"/>
      <c r="B181" s="317"/>
      <c r="C181" s="577"/>
      <c r="D181" s="577"/>
      <c r="E181" s="577"/>
      <c r="F181" s="317"/>
      <c r="G181" s="317"/>
    </row>
    <row r="182" spans="1:7" ht="18">
      <c r="A182" s="317"/>
      <c r="B182" s="317"/>
      <c r="C182" s="577"/>
      <c r="D182" s="577"/>
      <c r="E182" s="577"/>
      <c r="F182" s="317"/>
      <c r="G182" s="317"/>
    </row>
    <row r="183" spans="1:7" ht="18">
      <c r="A183" s="317"/>
      <c r="B183" s="317"/>
      <c r="C183" s="577"/>
      <c r="D183" s="577"/>
      <c r="E183" s="577"/>
      <c r="F183" s="317"/>
      <c r="G183" s="317"/>
    </row>
    <row r="184" spans="1:7" ht="18">
      <c r="A184" s="317"/>
      <c r="B184" s="317"/>
      <c r="C184" s="577"/>
      <c r="D184" s="577"/>
      <c r="E184" s="577"/>
      <c r="F184" s="317"/>
      <c r="G184" s="317"/>
    </row>
    <row r="185" spans="1:7" ht="18">
      <c r="A185" s="317"/>
      <c r="B185" s="317"/>
      <c r="C185" s="577"/>
      <c r="D185" s="577"/>
      <c r="E185" s="577"/>
      <c r="F185" s="317"/>
      <c r="G185" s="317"/>
    </row>
    <row r="186" spans="1:7" ht="18">
      <c r="A186" s="317"/>
      <c r="B186" s="317"/>
      <c r="C186" s="577"/>
      <c r="D186" s="577"/>
      <c r="E186" s="577"/>
      <c r="F186" s="317"/>
      <c r="G186" s="317"/>
    </row>
    <row r="187" spans="1:7" ht="18">
      <c r="A187" s="317"/>
      <c r="B187" s="317"/>
      <c r="C187" s="577"/>
      <c r="D187" s="577"/>
      <c r="E187" s="577"/>
      <c r="F187" s="317"/>
      <c r="G187" s="317"/>
    </row>
    <row r="188" spans="1:7" ht="18">
      <c r="A188" s="317"/>
      <c r="B188" s="317"/>
      <c r="C188" s="577"/>
      <c r="D188" s="577"/>
      <c r="E188" s="577"/>
      <c r="F188" s="317"/>
      <c r="G188" s="317"/>
    </row>
    <row r="189" spans="1:7" ht="18">
      <c r="A189" s="317"/>
      <c r="B189" s="317"/>
      <c r="C189" s="577"/>
      <c r="D189" s="577"/>
      <c r="E189" s="577"/>
      <c r="F189" s="317"/>
      <c r="G189" s="317"/>
    </row>
    <row r="190" spans="1:7" ht="18">
      <c r="A190" s="317"/>
      <c r="B190" s="317"/>
      <c r="C190" s="577"/>
      <c r="D190" s="577"/>
      <c r="E190" s="577"/>
      <c r="F190" s="317"/>
      <c r="G190" s="317"/>
    </row>
    <row r="191" spans="1:7" ht="18">
      <c r="A191" s="317"/>
      <c r="B191" s="317"/>
      <c r="C191" s="577"/>
      <c r="D191" s="577"/>
      <c r="E191" s="577"/>
      <c r="F191" s="317"/>
      <c r="G191" s="317"/>
    </row>
    <row r="192" spans="1:7" ht="18">
      <c r="A192" s="317"/>
      <c r="B192" s="317"/>
      <c r="C192" s="577"/>
      <c r="D192" s="577"/>
      <c r="E192" s="577"/>
      <c r="F192" s="317"/>
      <c r="G192" s="317"/>
    </row>
    <row r="193" spans="1:7" ht="18">
      <c r="A193" s="317"/>
      <c r="B193" s="317"/>
      <c r="C193" s="577"/>
      <c r="D193" s="577"/>
      <c r="E193" s="577"/>
      <c r="F193" s="317"/>
      <c r="G193" s="317"/>
    </row>
    <row r="194" spans="1:7" ht="18">
      <c r="A194" s="317"/>
      <c r="B194" s="317"/>
      <c r="C194" s="577"/>
      <c r="D194" s="577"/>
      <c r="E194" s="577"/>
      <c r="F194" s="317"/>
      <c r="G194" s="317"/>
    </row>
    <row r="195" spans="1:7" ht="18">
      <c r="A195" s="317"/>
      <c r="B195" s="317"/>
      <c r="C195" s="577"/>
      <c r="D195" s="577"/>
      <c r="E195" s="577"/>
      <c r="F195" s="317"/>
      <c r="G195" s="317"/>
    </row>
    <row r="196" spans="1:7" ht="18">
      <c r="A196" s="317"/>
      <c r="B196" s="317"/>
      <c r="C196" s="577"/>
      <c r="D196" s="577"/>
      <c r="E196" s="577"/>
      <c r="F196" s="317"/>
      <c r="G196" s="317"/>
    </row>
    <row r="197" spans="1:7" ht="18">
      <c r="A197" s="317"/>
      <c r="B197" s="317"/>
      <c r="C197" s="577"/>
      <c r="D197" s="577"/>
      <c r="E197" s="577"/>
      <c r="F197" s="317"/>
      <c r="G197" s="317"/>
    </row>
    <row r="198" spans="1:7" ht="18">
      <c r="A198" s="317"/>
      <c r="B198" s="317"/>
      <c r="C198" s="577"/>
      <c r="D198" s="577"/>
      <c r="E198" s="577"/>
      <c r="F198" s="317"/>
      <c r="G198" s="317"/>
    </row>
    <row r="199" spans="1:7" ht="18">
      <c r="A199" s="317"/>
      <c r="B199" s="317"/>
      <c r="C199" s="577"/>
      <c r="D199" s="577"/>
      <c r="E199" s="577"/>
      <c r="F199" s="317"/>
      <c r="G199" s="317"/>
    </row>
    <row r="200" spans="1:7" ht="18">
      <c r="A200" s="317"/>
      <c r="B200" s="317"/>
      <c r="C200" s="577"/>
      <c r="D200" s="577"/>
      <c r="E200" s="577"/>
      <c r="F200" s="317"/>
      <c r="G200" s="317"/>
    </row>
    <row r="201" spans="1:7" ht="18">
      <c r="A201" s="317"/>
      <c r="B201" s="317"/>
      <c r="C201" s="577"/>
      <c r="D201" s="577"/>
      <c r="E201" s="577"/>
      <c r="F201" s="317"/>
      <c r="G201" s="317"/>
    </row>
    <row r="202" spans="1:7" ht="18">
      <c r="A202" s="317"/>
      <c r="B202" s="317"/>
      <c r="C202" s="577"/>
      <c r="D202" s="577"/>
      <c r="E202" s="577"/>
      <c r="F202" s="317"/>
      <c r="G202" s="317"/>
    </row>
    <row r="203" spans="1:7" ht="18">
      <c r="A203" s="317"/>
      <c r="B203" s="317"/>
      <c r="C203" s="577"/>
      <c r="D203" s="577"/>
      <c r="E203" s="577"/>
      <c r="F203" s="317"/>
      <c r="G203" s="317"/>
    </row>
    <row r="204" spans="1:7" ht="18">
      <c r="A204" s="317"/>
      <c r="B204" s="317"/>
      <c r="C204" s="577"/>
      <c r="D204" s="577"/>
      <c r="E204" s="577"/>
      <c r="F204" s="317"/>
      <c r="G204" s="317"/>
    </row>
    <row r="205" spans="1:7" ht="18">
      <c r="A205" s="317"/>
      <c r="B205" s="317"/>
      <c r="C205" s="577"/>
      <c r="D205" s="577"/>
      <c r="E205" s="577"/>
      <c r="F205" s="317"/>
      <c r="G205" s="317"/>
    </row>
    <row r="206" spans="1:7" ht="18">
      <c r="A206" s="317"/>
      <c r="B206" s="317"/>
      <c r="C206" s="577"/>
      <c r="D206" s="577"/>
      <c r="E206" s="577"/>
      <c r="F206" s="317"/>
      <c r="G206" s="317"/>
    </row>
    <row r="207" spans="1:7" ht="18">
      <c r="A207" s="317"/>
      <c r="B207" s="317"/>
      <c r="C207" s="577"/>
      <c r="D207" s="577"/>
      <c r="E207" s="577"/>
      <c r="F207" s="317"/>
      <c r="G207" s="317"/>
    </row>
    <row r="208" spans="1:7" ht="18">
      <c r="A208" s="317"/>
      <c r="B208" s="317"/>
      <c r="C208" s="577"/>
      <c r="D208" s="577"/>
      <c r="E208" s="577"/>
      <c r="F208" s="317"/>
      <c r="G208" s="317"/>
    </row>
    <row r="209" spans="1:7" ht="18">
      <c r="A209" s="317"/>
      <c r="B209" s="317"/>
      <c r="C209" s="577"/>
      <c r="D209" s="577"/>
      <c r="E209" s="577"/>
      <c r="F209" s="317"/>
      <c r="G209" s="317"/>
    </row>
    <row r="210" spans="1:7" ht="18">
      <c r="A210" s="317"/>
      <c r="B210" s="317"/>
      <c r="C210" s="577"/>
      <c r="D210" s="577"/>
      <c r="E210" s="577"/>
      <c r="F210" s="317"/>
      <c r="G210" s="317"/>
    </row>
    <row r="211" spans="1:7" ht="18">
      <c r="A211" s="317"/>
      <c r="B211" s="317"/>
      <c r="C211" s="577"/>
      <c r="D211" s="577"/>
      <c r="E211" s="577"/>
      <c r="F211" s="317"/>
      <c r="G211" s="317"/>
    </row>
    <row r="212" spans="1:7" ht="18">
      <c r="A212" s="317"/>
      <c r="B212" s="317"/>
      <c r="C212" s="577"/>
      <c r="D212" s="577"/>
      <c r="E212" s="577"/>
      <c r="F212" s="317"/>
      <c r="G212" s="317"/>
    </row>
    <row r="213" spans="1:7" ht="18">
      <c r="A213" s="317"/>
      <c r="B213" s="317"/>
      <c r="C213" s="577"/>
      <c r="D213" s="577"/>
      <c r="E213" s="577"/>
      <c r="F213" s="317"/>
      <c r="G213" s="317"/>
    </row>
    <row r="214" spans="1:7" ht="18">
      <c r="A214" s="317"/>
      <c r="B214" s="317"/>
      <c r="C214" s="577"/>
      <c r="D214" s="577"/>
      <c r="E214" s="577"/>
      <c r="F214" s="317"/>
      <c r="G214" s="317"/>
    </row>
    <row r="215" spans="1:7" ht="18">
      <c r="A215" s="317"/>
      <c r="B215" s="317"/>
      <c r="C215" s="577"/>
      <c r="D215" s="577"/>
      <c r="E215" s="577"/>
      <c r="F215" s="317"/>
      <c r="G215" s="317"/>
    </row>
    <row r="216" spans="1:7" ht="18">
      <c r="A216" s="317"/>
      <c r="B216" s="317"/>
      <c r="C216" s="577"/>
      <c r="D216" s="577"/>
      <c r="E216" s="577"/>
      <c r="F216" s="317"/>
      <c r="G216" s="317"/>
    </row>
    <row r="217" spans="1:7" ht="18">
      <c r="A217" s="317"/>
      <c r="B217" s="317"/>
      <c r="C217" s="577"/>
      <c r="D217" s="577"/>
      <c r="E217" s="577"/>
      <c r="F217" s="317"/>
      <c r="G217" s="317"/>
    </row>
    <row r="218" spans="1:7" ht="18">
      <c r="A218" s="317"/>
      <c r="B218" s="317"/>
      <c r="C218" s="577"/>
      <c r="D218" s="577"/>
      <c r="E218" s="577"/>
      <c r="F218" s="317"/>
      <c r="G218" s="317"/>
    </row>
    <row r="219" spans="1:7" ht="18">
      <c r="A219" s="317"/>
      <c r="B219" s="317"/>
      <c r="C219" s="577"/>
      <c r="D219" s="577"/>
      <c r="E219" s="577"/>
      <c r="F219" s="317"/>
      <c r="G219" s="317"/>
    </row>
    <row r="220" spans="1:7" ht="18">
      <c r="A220" s="317"/>
      <c r="B220" s="317"/>
      <c r="C220" s="577"/>
      <c r="D220" s="577"/>
      <c r="E220" s="577"/>
      <c r="F220" s="317"/>
      <c r="G220" s="317"/>
    </row>
    <row r="221" spans="1:7" ht="18">
      <c r="A221" s="317"/>
      <c r="B221" s="317"/>
      <c r="C221" s="577"/>
      <c r="D221" s="577"/>
      <c r="E221" s="577"/>
      <c r="F221" s="317"/>
      <c r="G221" s="317"/>
    </row>
    <row r="222" spans="1:7" ht="18">
      <c r="A222" s="317"/>
      <c r="B222" s="317"/>
      <c r="C222" s="577"/>
      <c r="D222" s="577"/>
      <c r="E222" s="577"/>
      <c r="F222" s="317"/>
      <c r="G222" s="317"/>
    </row>
    <row r="223" spans="1:7" ht="18">
      <c r="A223" s="317"/>
      <c r="B223" s="317"/>
      <c r="C223" s="577"/>
      <c r="D223" s="577"/>
      <c r="E223" s="577"/>
      <c r="F223" s="317"/>
      <c r="G223" s="317"/>
    </row>
    <row r="224" spans="1:7" ht="18">
      <c r="A224" s="317"/>
      <c r="B224" s="317"/>
      <c r="C224" s="577"/>
      <c r="D224" s="577"/>
      <c r="E224" s="577"/>
      <c r="F224" s="317"/>
      <c r="G224" s="317"/>
    </row>
    <row r="225" spans="1:7" ht="18">
      <c r="A225" s="317"/>
      <c r="B225" s="317"/>
      <c r="C225" s="577"/>
      <c r="D225" s="577"/>
      <c r="E225" s="577"/>
      <c r="F225" s="317"/>
      <c r="G225" s="317"/>
    </row>
    <row r="226" spans="1:7" ht="18">
      <c r="A226" s="317"/>
      <c r="B226" s="317"/>
      <c r="C226" s="577"/>
      <c r="D226" s="577"/>
      <c r="E226" s="577"/>
      <c r="F226" s="317"/>
      <c r="G226" s="317"/>
    </row>
    <row r="227" spans="1:7" ht="18">
      <c r="A227" s="317"/>
      <c r="B227" s="317"/>
      <c r="C227" s="577"/>
      <c r="D227" s="577"/>
      <c r="E227" s="577"/>
      <c r="F227" s="317"/>
      <c r="G227" s="317"/>
    </row>
    <row r="228" spans="1:7" ht="18">
      <c r="A228" s="317"/>
      <c r="B228" s="317"/>
      <c r="C228" s="577"/>
      <c r="D228" s="577"/>
      <c r="E228" s="577"/>
      <c r="F228" s="317"/>
      <c r="G228" s="317"/>
    </row>
    <row r="229" spans="1:7" ht="18">
      <c r="A229" s="317"/>
      <c r="B229" s="317"/>
      <c r="C229" s="577"/>
      <c r="D229" s="577"/>
      <c r="E229" s="577"/>
      <c r="F229" s="317"/>
      <c r="G229" s="317"/>
    </row>
    <row r="230" spans="1:7" ht="18">
      <c r="A230" s="317"/>
      <c r="B230" s="317"/>
      <c r="C230" s="577"/>
      <c r="D230" s="577"/>
      <c r="E230" s="577"/>
      <c r="F230" s="317"/>
      <c r="G230" s="317"/>
    </row>
    <row r="231" spans="1:7" ht="18">
      <c r="A231" s="317"/>
      <c r="B231" s="317"/>
      <c r="C231" s="577"/>
      <c r="D231" s="577"/>
      <c r="E231" s="577"/>
      <c r="F231" s="317"/>
      <c r="G231" s="317"/>
    </row>
    <row r="232" spans="1:7" ht="18">
      <c r="A232" s="317"/>
      <c r="B232" s="317"/>
      <c r="C232" s="577"/>
      <c r="D232" s="577"/>
      <c r="E232" s="577"/>
      <c r="F232" s="317"/>
      <c r="G232" s="317"/>
    </row>
    <row r="233" spans="1:7" ht="18">
      <c r="A233" s="317"/>
      <c r="B233" s="317"/>
      <c r="C233" s="577"/>
      <c r="D233" s="577"/>
      <c r="E233" s="577"/>
      <c r="F233" s="317"/>
      <c r="G233" s="317"/>
    </row>
    <row r="234" spans="1:7" ht="18">
      <c r="A234" s="317"/>
      <c r="B234" s="317"/>
      <c r="C234" s="577"/>
      <c r="D234" s="577"/>
      <c r="E234" s="577"/>
      <c r="F234" s="317"/>
      <c r="G234" s="317"/>
    </row>
    <row r="235" spans="1:7" ht="18">
      <c r="A235" s="317"/>
      <c r="B235" s="317"/>
      <c r="C235" s="577"/>
      <c r="D235" s="577"/>
      <c r="E235" s="577"/>
      <c r="F235" s="317"/>
      <c r="G235" s="317"/>
    </row>
    <row r="236" spans="1:7" ht="18">
      <c r="A236" s="317"/>
      <c r="B236" s="317"/>
      <c r="C236" s="577"/>
      <c r="D236" s="577"/>
      <c r="E236" s="577"/>
      <c r="F236" s="317"/>
      <c r="G236" s="317"/>
    </row>
    <row r="237" spans="1:7" ht="18">
      <c r="A237" s="317"/>
      <c r="B237" s="317"/>
      <c r="C237" s="577"/>
      <c r="D237" s="577"/>
      <c r="E237" s="577"/>
      <c r="F237" s="317"/>
      <c r="G237" s="317"/>
    </row>
    <row r="238" spans="1:7" ht="18">
      <c r="A238" s="317"/>
      <c r="B238" s="317"/>
      <c r="C238" s="577"/>
      <c r="D238" s="577"/>
      <c r="E238" s="577"/>
      <c r="F238" s="317"/>
      <c r="G238" s="317"/>
    </row>
    <row r="239" spans="1:7" ht="18">
      <c r="A239" s="317"/>
      <c r="B239" s="317"/>
      <c r="C239" s="577"/>
      <c r="D239" s="577"/>
      <c r="E239" s="577"/>
      <c r="F239" s="317"/>
      <c r="G239" s="317"/>
    </row>
    <row r="240" spans="1:7" ht="18">
      <c r="A240" s="317"/>
      <c r="B240" s="317"/>
      <c r="C240" s="577"/>
      <c r="D240" s="577"/>
      <c r="E240" s="577"/>
      <c r="F240" s="317"/>
      <c r="G240" s="317"/>
    </row>
    <row r="241" spans="1:7" ht="18">
      <c r="A241" s="317"/>
      <c r="B241" s="317"/>
      <c r="C241" s="577"/>
      <c r="D241" s="577"/>
      <c r="E241" s="577"/>
      <c r="F241" s="317"/>
      <c r="G241" s="317"/>
    </row>
    <row r="242" spans="1:7" ht="18">
      <c r="A242" s="317"/>
      <c r="B242" s="317"/>
      <c r="C242" s="577"/>
      <c r="D242" s="577"/>
      <c r="E242" s="577"/>
      <c r="F242" s="317"/>
      <c r="G242" s="317"/>
    </row>
    <row r="243" spans="1:7" ht="18">
      <c r="A243" s="317"/>
      <c r="B243" s="317"/>
      <c r="C243" s="577"/>
      <c r="D243" s="577"/>
      <c r="E243" s="577"/>
      <c r="F243" s="317"/>
      <c r="G243" s="317"/>
    </row>
    <row r="244" spans="1:7" ht="18">
      <c r="A244" s="317"/>
      <c r="B244" s="317"/>
      <c r="C244" s="577"/>
      <c r="D244" s="577"/>
      <c r="E244" s="577"/>
      <c r="F244" s="317"/>
      <c r="G244" s="317"/>
    </row>
    <row r="245" spans="1:7" ht="18">
      <c r="A245" s="317"/>
      <c r="B245" s="317"/>
      <c r="C245" s="577"/>
      <c r="D245" s="577"/>
      <c r="E245" s="577"/>
      <c r="F245" s="317"/>
      <c r="G245" s="317"/>
    </row>
    <row r="246" spans="1:7" ht="18">
      <c r="A246" s="317"/>
      <c r="B246" s="317"/>
      <c r="C246" s="577"/>
      <c r="D246" s="577"/>
      <c r="E246" s="577"/>
      <c r="F246" s="317"/>
      <c r="G246" s="317"/>
    </row>
    <row r="247" spans="1:7" ht="18">
      <c r="A247" s="317"/>
      <c r="B247" s="317"/>
      <c r="C247" s="577"/>
      <c r="D247" s="577"/>
      <c r="E247" s="577"/>
      <c r="F247" s="317"/>
      <c r="G247" s="317"/>
    </row>
    <row r="248" spans="1:7" ht="18">
      <c r="A248" s="317"/>
      <c r="B248" s="317"/>
      <c r="C248" s="577"/>
      <c r="D248" s="577"/>
      <c r="E248" s="577"/>
      <c r="F248" s="317"/>
      <c r="G248" s="317"/>
    </row>
    <row r="249" spans="1:7" ht="18">
      <c r="A249" s="317"/>
      <c r="B249" s="317"/>
      <c r="C249" s="577"/>
      <c r="D249" s="577"/>
      <c r="E249" s="577"/>
      <c r="F249" s="317"/>
      <c r="G249" s="317"/>
    </row>
    <row r="250" spans="1:7" ht="18">
      <c r="A250" s="317"/>
      <c r="B250" s="317"/>
      <c r="C250" s="577"/>
      <c r="D250" s="577"/>
      <c r="E250" s="577"/>
      <c r="F250" s="317"/>
      <c r="G250" s="317"/>
    </row>
    <row r="251" spans="1:7" ht="18">
      <c r="A251" s="317"/>
      <c r="B251" s="317"/>
      <c r="C251" s="577"/>
      <c r="D251" s="577"/>
      <c r="E251" s="577"/>
      <c r="F251" s="317"/>
      <c r="G251" s="317"/>
    </row>
    <row r="252" spans="1:7" ht="18">
      <c r="A252" s="317"/>
      <c r="B252" s="317"/>
      <c r="C252" s="577"/>
      <c r="D252" s="577"/>
      <c r="E252" s="577"/>
      <c r="F252" s="317"/>
      <c r="G252" s="317"/>
    </row>
    <row r="253" spans="1:7" ht="18">
      <c r="A253" s="317"/>
      <c r="B253" s="317"/>
      <c r="C253" s="577"/>
      <c r="D253" s="577"/>
      <c r="E253" s="577"/>
      <c r="F253" s="317"/>
      <c r="G253" s="317"/>
    </row>
    <row r="254" spans="1:7" ht="18">
      <c r="A254" s="317"/>
      <c r="B254" s="317"/>
      <c r="C254" s="577"/>
      <c r="D254" s="577"/>
      <c r="E254" s="577"/>
      <c r="F254" s="317"/>
      <c r="G254" s="317"/>
    </row>
    <row r="255" spans="1:7" ht="18">
      <c r="A255" s="317"/>
      <c r="B255" s="317"/>
      <c r="C255" s="577"/>
      <c r="D255" s="577"/>
      <c r="E255" s="577"/>
      <c r="F255" s="317"/>
      <c r="G255" s="317"/>
    </row>
    <row r="256" spans="1:7" ht="18">
      <c r="A256" s="317"/>
      <c r="B256" s="317"/>
      <c r="C256" s="577"/>
      <c r="D256" s="577"/>
      <c r="E256" s="577"/>
      <c r="F256" s="317"/>
      <c r="G256" s="317"/>
    </row>
    <row r="257" spans="1:7" ht="18">
      <c r="A257" s="317"/>
      <c r="B257" s="317"/>
      <c r="C257" s="577"/>
      <c r="D257" s="577"/>
      <c r="E257" s="577"/>
      <c r="F257" s="317"/>
      <c r="G257" s="317"/>
    </row>
    <row r="258" spans="1:7" ht="18">
      <c r="A258" s="317"/>
      <c r="B258" s="317"/>
      <c r="C258" s="577"/>
      <c r="D258" s="577"/>
      <c r="E258" s="577"/>
      <c r="F258" s="317"/>
      <c r="G258" s="317"/>
    </row>
    <row r="259" spans="1:7" ht="18">
      <c r="A259" s="317"/>
      <c r="B259" s="317"/>
      <c r="C259" s="577"/>
      <c r="D259" s="577"/>
      <c r="E259" s="577"/>
      <c r="F259" s="317"/>
      <c r="G259" s="317"/>
    </row>
    <row r="260" spans="1:7" ht="18">
      <c r="A260" s="317"/>
      <c r="B260" s="317"/>
      <c r="C260" s="577"/>
      <c r="D260" s="577"/>
      <c r="E260" s="577"/>
      <c r="F260" s="317"/>
      <c r="G260" s="317"/>
    </row>
    <row r="261" spans="1:7" ht="18">
      <c r="A261" s="317"/>
      <c r="B261" s="317"/>
      <c r="C261" s="577"/>
      <c r="D261" s="577"/>
      <c r="E261" s="577"/>
      <c r="F261" s="317"/>
      <c r="G261" s="317"/>
    </row>
    <row r="262" spans="1:7" ht="18">
      <c r="A262" s="317"/>
      <c r="B262" s="317"/>
      <c r="C262" s="577"/>
      <c r="D262" s="577"/>
      <c r="E262" s="577"/>
      <c r="F262" s="317"/>
      <c r="G262" s="317"/>
    </row>
    <row r="263" spans="1:7" ht="18">
      <c r="A263" s="317"/>
      <c r="B263" s="317"/>
      <c r="C263" s="577"/>
      <c r="D263" s="577"/>
      <c r="E263" s="577"/>
      <c r="F263" s="317"/>
      <c r="G263" s="317"/>
    </row>
    <row r="264" spans="1:7" ht="18">
      <c r="A264" s="317"/>
      <c r="B264" s="317"/>
      <c r="C264" s="577"/>
      <c r="D264" s="577"/>
      <c r="E264" s="577"/>
      <c r="F264" s="317"/>
      <c r="G264" s="317"/>
    </row>
    <row r="265" spans="1:7" ht="18">
      <c r="A265" s="317"/>
      <c r="B265" s="317"/>
      <c r="C265" s="577"/>
      <c r="D265" s="577"/>
      <c r="E265" s="577"/>
      <c r="F265" s="317"/>
      <c r="G265" s="317"/>
    </row>
    <row r="266" spans="1:7" ht="18">
      <c r="A266" s="317"/>
      <c r="B266" s="317"/>
      <c r="C266" s="577"/>
      <c r="D266" s="577"/>
      <c r="E266" s="577"/>
      <c r="F266" s="317"/>
      <c r="G266" s="317"/>
    </row>
    <row r="267" spans="1:7" ht="18">
      <c r="A267" s="317"/>
      <c r="B267" s="317"/>
      <c r="C267" s="577"/>
      <c r="D267" s="577"/>
      <c r="E267" s="577"/>
      <c r="F267" s="317"/>
      <c r="G267" s="317"/>
    </row>
    <row r="268" spans="1:7" ht="18">
      <c r="A268" s="317"/>
      <c r="B268" s="317"/>
      <c r="C268" s="577"/>
      <c r="D268" s="577"/>
      <c r="E268" s="577"/>
      <c r="F268" s="317"/>
      <c r="G268" s="317"/>
    </row>
    <row r="269" spans="1:7" ht="18">
      <c r="A269" s="317"/>
      <c r="B269" s="317"/>
      <c r="C269" s="577"/>
      <c r="D269" s="577"/>
      <c r="E269" s="577"/>
      <c r="F269" s="317"/>
      <c r="G269" s="317"/>
    </row>
    <row r="270" spans="1:7" ht="18">
      <c r="A270" s="317"/>
      <c r="B270" s="317"/>
      <c r="C270" s="577"/>
      <c r="D270" s="577"/>
      <c r="E270" s="577"/>
      <c r="F270" s="317"/>
      <c r="G270" s="31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  <row r="994" spans="1:7">
      <c r="A994" s="377"/>
      <c r="B994" s="377"/>
      <c r="C994" s="377"/>
      <c r="D994" s="377"/>
      <c r="E994" s="377"/>
      <c r="F994" s="377"/>
      <c r="G994" s="377"/>
    </row>
    <row r="995" spans="1:7">
      <c r="A995" s="377"/>
      <c r="B995" s="377"/>
      <c r="C995" s="377"/>
      <c r="D995" s="377"/>
      <c r="E995" s="377"/>
      <c r="F995" s="377"/>
      <c r="G995" s="377"/>
    </row>
    <row r="996" spans="1:7">
      <c r="A996" s="377"/>
      <c r="B996" s="377"/>
      <c r="C996" s="377"/>
      <c r="D996" s="377"/>
      <c r="E996" s="377"/>
      <c r="F996" s="377"/>
      <c r="G996" s="377"/>
    </row>
    <row r="997" spans="1:7">
      <c r="A997" s="377"/>
      <c r="B997" s="377"/>
      <c r="C997" s="377"/>
      <c r="D997" s="377"/>
      <c r="E997" s="377"/>
      <c r="F997" s="377"/>
      <c r="G997" s="377"/>
    </row>
    <row r="998" spans="1:7">
      <c r="A998" s="377"/>
      <c r="B998" s="377"/>
      <c r="C998" s="377"/>
      <c r="D998" s="377"/>
      <c r="E998" s="377"/>
      <c r="F998" s="377"/>
      <c r="G998" s="377"/>
    </row>
    <row r="999" spans="1:7">
      <c r="A999" s="377"/>
      <c r="B999" s="377"/>
      <c r="C999" s="377"/>
      <c r="D999" s="377"/>
      <c r="E999" s="377"/>
      <c r="F999" s="377"/>
      <c r="G999" s="377"/>
    </row>
    <row r="1000" spans="1:7">
      <c r="A1000" s="377"/>
      <c r="B1000" s="377"/>
      <c r="C1000" s="377"/>
      <c r="D1000" s="377"/>
      <c r="E1000" s="377"/>
      <c r="F1000" s="377"/>
      <c r="G1000" s="377"/>
    </row>
  </sheetData>
  <sheetProtection algorithmName="SHA-512" hashValue="zXGYiebvCNVYQ/Z+DC6VDluXXPEl51liACo/zJacwI3/2wX7dynz3Kh5FkUYuB2ANC7XEs9bw/0dtQ8k7MPShQ==" saltValue="TzZgCg5F0oA2gpncOJUvrg==" spinCount="100000" sheet="1" objects="1" scenarios="1"/>
  <mergeCells count="13">
    <mergeCell ref="B68:D68"/>
    <mergeCell ref="F68:G68"/>
    <mergeCell ref="B69:D69"/>
    <mergeCell ref="F69:G69"/>
    <mergeCell ref="A72:G72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FEE30-DD9A-42A2-BAAF-227905BDFB37}">
  <dimension ref="A1:L960"/>
  <sheetViews>
    <sheetView topLeftCell="A31" workbookViewId="0">
      <selection activeCell="A98" sqref="A98:G98"/>
    </sheetView>
  </sheetViews>
  <sheetFormatPr defaultColWidth="8.85546875" defaultRowHeight="15"/>
  <cols>
    <col min="1" max="1" width="56.42578125" style="314" customWidth="1"/>
    <col min="2" max="2" width="14.28515625" style="314" customWidth="1"/>
    <col min="3" max="7" width="16.5703125" style="314" customWidth="1"/>
    <col min="8" max="9" width="8.85546875" style="314"/>
    <col min="10" max="10" width="12.7109375" style="314" bestFit="1" customWidth="1"/>
    <col min="11" max="11" width="8.85546875" style="314"/>
    <col min="12" max="12" width="13.85546875" style="314" bestFit="1" customWidth="1"/>
    <col min="13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5" t="s">
        <v>717</v>
      </c>
      <c r="B5" s="315"/>
      <c r="C5" s="315"/>
      <c r="D5" s="396"/>
      <c r="E5" s="315"/>
      <c r="F5" s="315"/>
      <c r="G5" s="909"/>
    </row>
    <row r="6" spans="1:7" ht="21" customHeight="1" thickTop="1" thickBot="1">
      <c r="A6" s="1228" t="s">
        <v>16</v>
      </c>
      <c r="B6" s="1228" t="s">
        <v>17</v>
      </c>
      <c r="C6" s="1230" t="s">
        <v>580</v>
      </c>
      <c r="D6" s="1231" t="s">
        <v>603</v>
      </c>
      <c r="E6" s="1242"/>
      <c r="F6" s="1243"/>
      <c r="G6" s="1228" t="s">
        <v>556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6"/>
      <c r="C10" s="326"/>
      <c r="D10" s="326"/>
      <c r="E10" s="326"/>
      <c r="F10" s="380"/>
      <c r="G10" s="327"/>
    </row>
    <row r="11" spans="1:7" ht="18">
      <c r="A11" s="328" t="s">
        <v>34</v>
      </c>
      <c r="B11" s="748"/>
      <c r="C11" s="330"/>
      <c r="D11" s="330"/>
      <c r="E11" s="330"/>
      <c r="F11" s="381"/>
      <c r="G11" s="332"/>
    </row>
    <row r="12" spans="1:7" ht="18">
      <c r="A12" s="333" t="s">
        <v>35</v>
      </c>
      <c r="B12" s="335"/>
      <c r="C12" s="335"/>
      <c r="D12" s="335"/>
      <c r="E12" s="335"/>
      <c r="F12" s="383"/>
      <c r="G12" s="337"/>
    </row>
    <row r="13" spans="1:7" ht="18">
      <c r="A13" s="338" t="s">
        <v>36</v>
      </c>
      <c r="B13" s="425" t="s">
        <v>37</v>
      </c>
      <c r="C13" s="910">
        <v>11758315.960000001</v>
      </c>
      <c r="D13" s="910">
        <v>5648986.1399999997</v>
      </c>
      <c r="E13" s="910">
        <f t="shared" ref="E13:E14" si="0">F13-D13</f>
        <v>10194409.859999999</v>
      </c>
      <c r="F13" s="911">
        <v>15843396</v>
      </c>
      <c r="G13" s="912">
        <v>16863450</v>
      </c>
    </row>
    <row r="14" spans="1:7" ht="18">
      <c r="A14" s="338" t="s">
        <v>38</v>
      </c>
      <c r="B14" s="425" t="s">
        <v>39</v>
      </c>
      <c r="C14" s="910">
        <v>624000</v>
      </c>
      <c r="D14" s="910">
        <v>247000</v>
      </c>
      <c r="E14" s="910">
        <f t="shared" si="0"/>
        <v>377000</v>
      </c>
      <c r="F14" s="911">
        <v>624000</v>
      </c>
      <c r="G14" s="912">
        <v>660060</v>
      </c>
    </row>
    <row r="15" spans="1:7" ht="18">
      <c r="A15" s="333" t="s">
        <v>40</v>
      </c>
      <c r="B15" s="435"/>
      <c r="C15" s="910"/>
      <c r="D15" s="910"/>
      <c r="E15" s="910"/>
      <c r="F15" s="911"/>
      <c r="G15" s="912"/>
    </row>
    <row r="16" spans="1:7" ht="18">
      <c r="A16" s="338" t="s">
        <v>41</v>
      </c>
      <c r="B16" s="425" t="s">
        <v>42</v>
      </c>
      <c r="C16" s="910">
        <v>778545.62</v>
      </c>
      <c r="D16" s="910">
        <v>378636.5</v>
      </c>
      <c r="E16" s="910">
        <f t="shared" ref="E16:E24" si="1">F16-D16</f>
        <v>749363.5</v>
      </c>
      <c r="F16" s="911">
        <v>1128000</v>
      </c>
      <c r="G16" s="912">
        <v>1128000</v>
      </c>
    </row>
    <row r="17" spans="1:7" ht="18">
      <c r="A17" s="338" t="s">
        <v>43</v>
      </c>
      <c r="B17" s="425" t="s">
        <v>44</v>
      </c>
      <c r="C17" s="910">
        <v>192000</v>
      </c>
      <c r="D17" s="910">
        <v>96000</v>
      </c>
      <c r="E17" s="910">
        <f t="shared" si="1"/>
        <v>96000</v>
      </c>
      <c r="F17" s="911">
        <v>192000</v>
      </c>
      <c r="G17" s="912">
        <v>216000</v>
      </c>
    </row>
    <row r="18" spans="1:7" ht="18">
      <c r="A18" s="338" t="s">
        <v>45</v>
      </c>
      <c r="B18" s="425" t="s">
        <v>46</v>
      </c>
      <c r="C18" s="910">
        <v>192000</v>
      </c>
      <c r="D18" s="910">
        <v>96000</v>
      </c>
      <c r="E18" s="910">
        <f t="shared" si="1"/>
        <v>96000</v>
      </c>
      <c r="F18" s="911">
        <v>192000</v>
      </c>
      <c r="G18" s="912">
        <v>216000</v>
      </c>
    </row>
    <row r="19" spans="1:7" ht="18">
      <c r="A19" s="338" t="s">
        <v>47</v>
      </c>
      <c r="B19" s="425" t="s">
        <v>48</v>
      </c>
      <c r="C19" s="910">
        <v>192000</v>
      </c>
      <c r="D19" s="865">
        <v>192000</v>
      </c>
      <c r="E19" s="910">
        <f t="shared" si="1"/>
        <v>90000</v>
      </c>
      <c r="F19" s="912">
        <v>282000</v>
      </c>
      <c r="G19" s="912">
        <v>329000</v>
      </c>
    </row>
    <row r="20" spans="1:7" ht="18">
      <c r="A20" s="338" t="s">
        <v>49</v>
      </c>
      <c r="B20" s="339" t="s">
        <v>50</v>
      </c>
      <c r="C20" s="865">
        <v>162500</v>
      </c>
      <c r="D20" s="865">
        <v>0</v>
      </c>
      <c r="E20" s="910">
        <f t="shared" si="1"/>
        <v>235000</v>
      </c>
      <c r="F20" s="912">
        <v>235000</v>
      </c>
      <c r="G20" s="912">
        <v>235000</v>
      </c>
    </row>
    <row r="21" spans="1:7" ht="18">
      <c r="A21" s="338" t="s">
        <v>51</v>
      </c>
      <c r="B21" s="339" t="s">
        <v>52</v>
      </c>
      <c r="C21" s="910">
        <v>3500000</v>
      </c>
      <c r="D21" s="913">
        <v>460506.94</v>
      </c>
      <c r="E21" s="910">
        <f t="shared" si="1"/>
        <v>2039493.06</v>
      </c>
      <c r="F21" s="912">
        <v>2500000</v>
      </c>
      <c r="G21" s="912">
        <v>2500000</v>
      </c>
    </row>
    <row r="22" spans="1:7" ht="18">
      <c r="A22" s="338" t="s">
        <v>53</v>
      </c>
      <c r="B22" s="425" t="s">
        <v>54</v>
      </c>
      <c r="C22" s="910">
        <v>974373</v>
      </c>
      <c r="D22" s="865">
        <v>0</v>
      </c>
      <c r="E22" s="910">
        <f t="shared" si="1"/>
        <v>1372283</v>
      </c>
      <c r="F22" s="912">
        <v>1372283</v>
      </c>
      <c r="G22" s="912">
        <v>1496535</v>
      </c>
    </row>
    <row r="23" spans="1:7" ht="18">
      <c r="A23" s="338" t="s">
        <v>55</v>
      </c>
      <c r="B23" s="425" t="s">
        <v>56</v>
      </c>
      <c r="C23" s="910">
        <v>161500</v>
      </c>
      <c r="D23" s="865">
        <v>0</v>
      </c>
      <c r="E23" s="910">
        <f t="shared" si="1"/>
        <v>235000</v>
      </c>
      <c r="F23" s="912">
        <v>235000</v>
      </c>
      <c r="G23" s="912">
        <v>235000</v>
      </c>
    </row>
    <row r="24" spans="1:7" ht="18">
      <c r="A24" s="338" t="s">
        <v>57</v>
      </c>
      <c r="B24" s="425" t="s">
        <v>58</v>
      </c>
      <c r="C24" s="910">
        <v>961373</v>
      </c>
      <c r="D24" s="910">
        <v>961373</v>
      </c>
      <c r="E24" s="910">
        <f t="shared" si="1"/>
        <v>410910</v>
      </c>
      <c r="F24" s="912">
        <v>1372283</v>
      </c>
      <c r="G24" s="912">
        <v>1434405</v>
      </c>
    </row>
    <row r="25" spans="1:7" ht="18">
      <c r="A25" s="338" t="s">
        <v>557</v>
      </c>
      <c r="B25" s="425" t="s">
        <v>58</v>
      </c>
      <c r="C25" s="914">
        <v>0</v>
      </c>
      <c r="D25" s="914">
        <v>0</v>
      </c>
      <c r="E25" s="914">
        <v>0</v>
      </c>
      <c r="F25" s="914">
        <v>0</v>
      </c>
      <c r="G25" s="912">
        <v>329000</v>
      </c>
    </row>
    <row r="26" spans="1:7" ht="18">
      <c r="A26" s="333" t="s">
        <v>59</v>
      </c>
      <c r="B26" s="435"/>
      <c r="C26" s="910"/>
      <c r="D26" s="910"/>
      <c r="E26" s="910"/>
      <c r="F26" s="912"/>
      <c r="G26" s="912"/>
    </row>
    <row r="27" spans="1:7" ht="18">
      <c r="A27" s="338" t="s">
        <v>60</v>
      </c>
      <c r="B27" s="425" t="s">
        <v>61</v>
      </c>
      <c r="C27" s="910">
        <v>1434112.23</v>
      </c>
      <c r="D27" s="910">
        <v>710569.56</v>
      </c>
      <c r="E27" s="910">
        <f t="shared" ref="E27:E30" si="2">F27-D27</f>
        <v>1265517.96</v>
      </c>
      <c r="F27" s="912">
        <v>1976087.52</v>
      </c>
      <c r="G27" s="912">
        <v>2102821.2000000002</v>
      </c>
    </row>
    <row r="28" spans="1:7" ht="18">
      <c r="A28" s="338" t="s">
        <v>62</v>
      </c>
      <c r="B28" s="425" t="s">
        <v>63</v>
      </c>
      <c r="C28" s="910">
        <v>39300</v>
      </c>
      <c r="D28" s="910">
        <v>34700</v>
      </c>
      <c r="E28" s="910">
        <f t="shared" si="2"/>
        <v>21700</v>
      </c>
      <c r="F28" s="912">
        <v>56400</v>
      </c>
      <c r="G28" s="912">
        <v>112800</v>
      </c>
    </row>
    <row r="29" spans="1:7" ht="18">
      <c r="A29" s="338" t="s">
        <v>64</v>
      </c>
      <c r="B29" s="425" t="s">
        <v>65</v>
      </c>
      <c r="C29" s="910">
        <v>228174.71</v>
      </c>
      <c r="D29" s="910">
        <v>159953.29</v>
      </c>
      <c r="E29" s="910">
        <f t="shared" si="2"/>
        <v>203511.59</v>
      </c>
      <c r="F29" s="912">
        <v>363464.88</v>
      </c>
      <c r="G29" s="912">
        <v>421624.2</v>
      </c>
    </row>
    <row r="30" spans="1:7" ht="18">
      <c r="A30" s="338" t="s">
        <v>66</v>
      </c>
      <c r="B30" s="425" t="s">
        <v>67</v>
      </c>
      <c r="C30" s="910">
        <v>39300</v>
      </c>
      <c r="D30" s="910">
        <v>19000</v>
      </c>
      <c r="E30" s="910">
        <f t="shared" si="2"/>
        <v>37400</v>
      </c>
      <c r="F30" s="912">
        <v>56400</v>
      </c>
      <c r="G30" s="912">
        <v>56400</v>
      </c>
    </row>
    <row r="31" spans="1:7" ht="18">
      <c r="A31" s="333" t="s">
        <v>59</v>
      </c>
      <c r="B31" s="402"/>
      <c r="C31" s="915"/>
      <c r="D31" s="915"/>
      <c r="E31" s="915"/>
      <c r="F31" s="916"/>
      <c r="G31" s="916"/>
    </row>
    <row r="32" spans="1:7" ht="18.75" thickBot="1">
      <c r="A32" s="338" t="s">
        <v>558</v>
      </c>
      <c r="B32" s="425" t="s">
        <v>520</v>
      </c>
      <c r="C32" s="914">
        <v>0</v>
      </c>
      <c r="D32" s="914">
        <v>0</v>
      </c>
      <c r="E32" s="914">
        <v>0</v>
      </c>
      <c r="F32" s="914">
        <v>0</v>
      </c>
      <c r="G32" s="917">
        <f>(G13+G14)/12*10*0.0481927</f>
        <v>703754.38364749996</v>
      </c>
    </row>
    <row r="33" spans="1:7" ht="19.5" thickTop="1" thickBot="1">
      <c r="A33" s="351" t="s">
        <v>71</v>
      </c>
      <c r="B33" s="352"/>
      <c r="C33" s="918">
        <f t="shared" ref="C33:F33" si="3">SUM(C13:C30)</f>
        <v>21237494.52</v>
      </c>
      <c r="D33" s="918">
        <f t="shared" si="3"/>
        <v>9004725.4299999997</v>
      </c>
      <c r="E33" s="918">
        <f t="shared" si="3"/>
        <v>17423588.969999999</v>
      </c>
      <c r="F33" s="918">
        <f t="shared" si="3"/>
        <v>26428314.399999999</v>
      </c>
      <c r="G33" s="918">
        <f>SUM(G13:G32)</f>
        <v>29039849.7836475</v>
      </c>
    </row>
    <row r="34" spans="1:7" ht="18.75" thickTop="1">
      <c r="A34" s="919" t="s">
        <v>72</v>
      </c>
      <c r="B34" s="920"/>
      <c r="C34" s="921"/>
      <c r="D34" s="921"/>
      <c r="E34" s="921"/>
      <c r="F34" s="921"/>
      <c r="G34" s="922"/>
    </row>
    <row r="35" spans="1:7" ht="18">
      <c r="A35" s="429" t="s">
        <v>73</v>
      </c>
      <c r="B35" s="633" t="s">
        <v>74</v>
      </c>
      <c r="C35" s="914">
        <v>0</v>
      </c>
      <c r="D35" s="914">
        <v>0</v>
      </c>
      <c r="E35" s="910">
        <f t="shared" ref="E35:E57" si="4">F35-D35</f>
        <v>30000</v>
      </c>
      <c r="F35" s="923">
        <v>30000</v>
      </c>
      <c r="G35" s="923">
        <v>200000</v>
      </c>
    </row>
    <row r="36" spans="1:7" ht="18">
      <c r="A36" s="429" t="s">
        <v>75</v>
      </c>
      <c r="B36" s="633" t="s">
        <v>76</v>
      </c>
      <c r="C36" s="914">
        <v>574696</v>
      </c>
      <c r="D36" s="924">
        <v>5028.99</v>
      </c>
      <c r="E36" s="910">
        <f t="shared" si="4"/>
        <v>24971.010000000002</v>
      </c>
      <c r="F36" s="923">
        <v>30000</v>
      </c>
      <c r="G36" s="923">
        <v>400000</v>
      </c>
    </row>
    <row r="37" spans="1:7" ht="18">
      <c r="A37" s="489" t="s">
        <v>224</v>
      </c>
      <c r="B37" s="633" t="s">
        <v>78</v>
      </c>
      <c r="C37" s="914">
        <v>418328.9</v>
      </c>
      <c r="D37" s="925">
        <v>0</v>
      </c>
      <c r="E37" s="910">
        <f t="shared" si="4"/>
        <v>30000</v>
      </c>
      <c r="F37" s="923">
        <v>30000</v>
      </c>
      <c r="G37" s="923">
        <v>429000</v>
      </c>
    </row>
    <row r="38" spans="1:7" ht="18">
      <c r="A38" s="489" t="s">
        <v>195</v>
      </c>
      <c r="B38" s="633" t="s">
        <v>196</v>
      </c>
      <c r="C38" s="924">
        <v>421144</v>
      </c>
      <c r="D38" s="924">
        <v>0</v>
      </c>
      <c r="E38" s="910">
        <f t="shared" si="4"/>
        <v>50000</v>
      </c>
      <c r="F38" s="923">
        <v>50000</v>
      </c>
      <c r="G38" s="923">
        <v>500000</v>
      </c>
    </row>
    <row r="39" spans="1:7" ht="18">
      <c r="A39" s="489" t="s">
        <v>382</v>
      </c>
      <c r="B39" s="633" t="s">
        <v>80</v>
      </c>
      <c r="C39" s="914">
        <v>113310.18</v>
      </c>
      <c r="D39" s="926">
        <v>28178.33</v>
      </c>
      <c r="E39" s="910">
        <f t="shared" si="4"/>
        <v>1821.6699999999983</v>
      </c>
      <c r="F39" s="923">
        <v>30000</v>
      </c>
      <c r="G39" s="923">
        <v>300000</v>
      </c>
    </row>
    <row r="40" spans="1:7" ht="18">
      <c r="A40" s="489" t="s">
        <v>81</v>
      </c>
      <c r="B40" s="633" t="s">
        <v>82</v>
      </c>
      <c r="C40" s="924">
        <v>109453.4</v>
      </c>
      <c r="D40" s="914">
        <v>0</v>
      </c>
      <c r="E40" s="910">
        <f t="shared" si="4"/>
        <v>40000</v>
      </c>
      <c r="F40" s="923">
        <v>40000</v>
      </c>
      <c r="G40" s="923">
        <v>400000</v>
      </c>
    </row>
    <row r="41" spans="1:7" ht="18">
      <c r="A41" s="489" t="s">
        <v>365</v>
      </c>
      <c r="B41" s="633" t="s">
        <v>366</v>
      </c>
      <c r="C41" s="924">
        <v>440000</v>
      </c>
      <c r="D41" s="914">
        <v>0</v>
      </c>
      <c r="E41" s="910">
        <f t="shared" si="4"/>
        <v>30000</v>
      </c>
      <c r="F41" s="923">
        <v>30000</v>
      </c>
      <c r="G41" s="923">
        <v>300000</v>
      </c>
    </row>
    <row r="42" spans="1:7" ht="18">
      <c r="A42" s="489" t="s">
        <v>83</v>
      </c>
      <c r="B42" s="633" t="s">
        <v>84</v>
      </c>
      <c r="C42" s="914">
        <v>60000</v>
      </c>
      <c r="D42" s="926">
        <v>30000</v>
      </c>
      <c r="E42" s="910">
        <f t="shared" si="4"/>
        <v>30000</v>
      </c>
      <c r="F42" s="923">
        <v>60000</v>
      </c>
      <c r="G42" s="923">
        <v>60000</v>
      </c>
    </row>
    <row r="43" spans="1:7" ht="18">
      <c r="A43" s="489" t="s">
        <v>85</v>
      </c>
      <c r="B43" s="633" t="s">
        <v>86</v>
      </c>
      <c r="C43" s="914">
        <v>24640</v>
      </c>
      <c r="D43" s="924">
        <v>6160</v>
      </c>
      <c r="E43" s="910">
        <f t="shared" si="4"/>
        <v>13840</v>
      </c>
      <c r="F43" s="923">
        <v>20000</v>
      </c>
      <c r="G43" s="923">
        <v>60000</v>
      </c>
    </row>
    <row r="44" spans="1:7" ht="36">
      <c r="A44" s="496" t="s">
        <v>423</v>
      </c>
      <c r="B44" s="511" t="s">
        <v>336</v>
      </c>
      <c r="C44" s="914">
        <v>0</v>
      </c>
      <c r="D44" s="914">
        <v>0</v>
      </c>
      <c r="E44" s="910">
        <f t="shared" si="4"/>
        <v>30000</v>
      </c>
      <c r="F44" s="927">
        <v>30000</v>
      </c>
      <c r="G44" s="927">
        <v>50000</v>
      </c>
    </row>
    <row r="45" spans="1:7" ht="18">
      <c r="A45" s="495" t="s">
        <v>242</v>
      </c>
      <c r="B45" s="633" t="s">
        <v>243</v>
      </c>
      <c r="C45" s="914">
        <v>0</v>
      </c>
      <c r="D45" s="914">
        <v>0</v>
      </c>
      <c r="E45" s="910">
        <f t="shared" si="4"/>
        <v>20000</v>
      </c>
      <c r="F45" s="923">
        <v>20000</v>
      </c>
      <c r="G45" s="923">
        <v>50000</v>
      </c>
    </row>
    <row r="46" spans="1:7" ht="18">
      <c r="A46" s="489" t="s">
        <v>351</v>
      </c>
      <c r="B46" s="633" t="s">
        <v>352</v>
      </c>
      <c r="C46" s="924">
        <v>819206</v>
      </c>
      <c r="D46" s="926">
        <v>50000</v>
      </c>
      <c r="E46" s="914">
        <v>0</v>
      </c>
      <c r="F46" s="923">
        <v>50000</v>
      </c>
      <c r="G46" s="923">
        <v>650000</v>
      </c>
    </row>
    <row r="47" spans="1:7" ht="18">
      <c r="A47" s="489" t="s">
        <v>416</v>
      </c>
      <c r="B47" s="633" t="s">
        <v>417</v>
      </c>
      <c r="C47" s="914">
        <v>0</v>
      </c>
      <c r="D47" s="914">
        <v>0</v>
      </c>
      <c r="E47" s="910">
        <f t="shared" si="4"/>
        <v>50000</v>
      </c>
      <c r="F47" s="928">
        <v>50000</v>
      </c>
      <c r="G47" s="928">
        <v>30000</v>
      </c>
    </row>
    <row r="48" spans="1:7" ht="18">
      <c r="A48" s="489" t="s">
        <v>98</v>
      </c>
      <c r="B48" s="633" t="s">
        <v>99</v>
      </c>
      <c r="C48" s="914">
        <v>0</v>
      </c>
      <c r="D48" s="914">
        <v>0</v>
      </c>
      <c r="E48" s="910">
        <f t="shared" si="4"/>
        <v>10000</v>
      </c>
      <c r="F48" s="923">
        <v>10000</v>
      </c>
      <c r="G48" s="923">
        <v>400000</v>
      </c>
    </row>
    <row r="49" spans="1:12" ht="18">
      <c r="A49" s="429" t="s">
        <v>100</v>
      </c>
      <c r="B49" s="633" t="s">
        <v>101</v>
      </c>
      <c r="C49" s="914">
        <v>621108.01</v>
      </c>
      <c r="D49" s="914">
        <v>0</v>
      </c>
      <c r="E49" s="910">
        <f t="shared" si="4"/>
        <v>10000</v>
      </c>
      <c r="F49" s="923">
        <v>10000</v>
      </c>
      <c r="G49" s="923">
        <v>250000</v>
      </c>
    </row>
    <row r="50" spans="1:12" ht="17.45" customHeight="1">
      <c r="A50" s="495" t="s">
        <v>104</v>
      </c>
      <c r="B50" s="633" t="s">
        <v>105</v>
      </c>
      <c r="C50" s="914">
        <v>0</v>
      </c>
      <c r="D50" s="914">
        <v>0</v>
      </c>
      <c r="E50" s="910">
        <f t="shared" si="4"/>
        <v>10000</v>
      </c>
      <c r="F50" s="923">
        <v>10000</v>
      </c>
      <c r="G50" s="923">
        <v>10000</v>
      </c>
    </row>
    <row r="51" spans="1:12" ht="18">
      <c r="A51" s="489" t="s">
        <v>108</v>
      </c>
      <c r="B51" s="633" t="s">
        <v>109</v>
      </c>
      <c r="C51" s="914"/>
      <c r="D51" s="914"/>
      <c r="E51" s="910">
        <f t="shared" si="4"/>
        <v>0</v>
      </c>
      <c r="F51" s="928"/>
      <c r="G51" s="928"/>
    </row>
    <row r="52" spans="1:12" ht="18">
      <c r="A52" s="541" t="s">
        <v>429</v>
      </c>
      <c r="B52" s="929"/>
      <c r="C52" s="914">
        <v>0</v>
      </c>
      <c r="D52" s="914">
        <v>0</v>
      </c>
      <c r="E52" s="914">
        <v>0</v>
      </c>
      <c r="F52" s="914">
        <v>0</v>
      </c>
      <c r="G52" s="930">
        <v>8000000</v>
      </c>
    </row>
    <row r="53" spans="1:12" ht="18">
      <c r="A53" s="539" t="s">
        <v>424</v>
      </c>
      <c r="B53" s="435"/>
      <c r="C53" s="914"/>
      <c r="D53" s="914">
        <v>0</v>
      </c>
      <c r="E53" s="910">
        <f t="shared" si="4"/>
        <v>5000000</v>
      </c>
      <c r="F53" s="923">
        <v>5000000</v>
      </c>
      <c r="G53" s="914">
        <v>0</v>
      </c>
    </row>
    <row r="54" spans="1:12" ht="36">
      <c r="A54" s="539" t="s">
        <v>425</v>
      </c>
      <c r="B54" s="435"/>
      <c r="C54" s="914"/>
      <c r="D54" s="914">
        <v>0</v>
      </c>
      <c r="E54" s="910">
        <f t="shared" si="4"/>
        <v>1000000</v>
      </c>
      <c r="F54" s="923">
        <v>1000000</v>
      </c>
      <c r="G54" s="914">
        <v>0</v>
      </c>
    </row>
    <row r="55" spans="1:12" ht="18">
      <c r="A55" s="539" t="s">
        <v>426</v>
      </c>
      <c r="B55" s="435"/>
      <c r="C55" s="914"/>
      <c r="D55" s="914">
        <v>0</v>
      </c>
      <c r="E55" s="910">
        <f t="shared" si="4"/>
        <v>5000000</v>
      </c>
      <c r="F55" s="928">
        <v>5000000</v>
      </c>
      <c r="G55" s="914">
        <v>0</v>
      </c>
    </row>
    <row r="56" spans="1:12" ht="18">
      <c r="A56" s="539" t="s">
        <v>427</v>
      </c>
      <c r="B56" s="435"/>
      <c r="C56" s="914"/>
      <c r="D56" s="914">
        <v>0</v>
      </c>
      <c r="E56" s="910">
        <f t="shared" si="4"/>
        <v>500000</v>
      </c>
      <c r="F56" s="928">
        <v>500000</v>
      </c>
      <c r="G56" s="914">
        <v>0</v>
      </c>
    </row>
    <row r="57" spans="1:12" ht="36">
      <c r="A57" s="539" t="s">
        <v>428</v>
      </c>
      <c r="B57" s="435"/>
      <c r="C57" s="914"/>
      <c r="D57" s="914">
        <v>3683380.6</v>
      </c>
      <c r="E57" s="910">
        <f t="shared" si="4"/>
        <v>1376619.4</v>
      </c>
      <c r="F57" s="928">
        <v>5060000</v>
      </c>
      <c r="G57" s="914">
        <v>0</v>
      </c>
    </row>
    <row r="58" spans="1:12" ht="18.75" thickBot="1">
      <c r="A58" s="858" t="s">
        <v>430</v>
      </c>
      <c r="B58" s="931"/>
      <c r="C58" s="932">
        <v>4652567.3099999996</v>
      </c>
      <c r="D58" s="914">
        <v>0</v>
      </c>
      <c r="E58" s="914">
        <v>0</v>
      </c>
      <c r="F58" s="933">
        <v>0</v>
      </c>
      <c r="G58" s="914">
        <v>0</v>
      </c>
    </row>
    <row r="59" spans="1:12" ht="19.5" thickTop="1" thickBot="1">
      <c r="A59" s="351" t="s">
        <v>162</v>
      </c>
      <c r="B59" s="934"/>
      <c r="C59" s="935">
        <f>SUM(C35:C58)</f>
        <v>8254453.7999999989</v>
      </c>
      <c r="D59" s="935">
        <f>SUM(D35:D57)</f>
        <v>3802747.92</v>
      </c>
      <c r="E59" s="935">
        <f>SUM(E35:E58)</f>
        <v>13257252.08</v>
      </c>
      <c r="F59" s="935">
        <f>SUM(F35:F58)</f>
        <v>17060000</v>
      </c>
      <c r="G59" s="935">
        <f>SUM(G35:G58)</f>
        <v>12089000</v>
      </c>
      <c r="J59" s="558"/>
      <c r="L59" s="558"/>
    </row>
    <row r="60" spans="1:12" ht="19.5" thickTop="1" thickBot="1">
      <c r="A60" s="489"/>
      <c r="B60" s="784"/>
      <c r="C60" s="936"/>
      <c r="D60" s="936"/>
      <c r="E60" s="937"/>
      <c r="F60" s="937"/>
      <c r="G60" s="938"/>
    </row>
    <row r="61" spans="1:12" ht="19.5" thickTop="1" thickBot="1">
      <c r="A61" s="592" t="s">
        <v>181</v>
      </c>
      <c r="B61" s="939"/>
      <c r="C61" s="940">
        <f>C33+C59</f>
        <v>29491948.32</v>
      </c>
      <c r="D61" s="940">
        <f>D33+D59</f>
        <v>12807473.35</v>
      </c>
      <c r="E61" s="940">
        <f>E33+E59</f>
        <v>30680841.049999997</v>
      </c>
      <c r="F61" s="940">
        <f>F33+F59</f>
        <v>43488314.399999999</v>
      </c>
      <c r="G61" s="940">
        <f>G33+G59</f>
        <v>41128849.7836475</v>
      </c>
    </row>
    <row r="62" spans="1:12" ht="18.75" thickTop="1">
      <c r="A62" s="524"/>
      <c r="B62" s="941"/>
      <c r="C62" s="942"/>
      <c r="D62" s="942"/>
      <c r="E62" s="942"/>
      <c r="F62" s="942"/>
      <c r="G62" s="942"/>
    </row>
    <row r="63" spans="1:12" ht="18">
      <c r="A63" s="524"/>
      <c r="B63" s="773"/>
      <c r="C63" s="942"/>
      <c r="D63" s="942"/>
      <c r="E63" s="942"/>
      <c r="F63" s="942"/>
      <c r="G63" s="942"/>
    </row>
    <row r="64" spans="1:12" ht="18">
      <c r="A64" s="317"/>
      <c r="B64" s="317"/>
      <c r="C64" s="317"/>
      <c r="D64" s="317"/>
      <c r="E64" s="317"/>
      <c r="F64" s="317"/>
      <c r="G64" s="317"/>
    </row>
    <row r="65" spans="1:7" ht="18">
      <c r="A65" s="317" t="s">
        <v>183</v>
      </c>
      <c r="B65" s="317" t="s">
        <v>184</v>
      </c>
      <c r="C65" s="317"/>
      <c r="D65" s="317"/>
      <c r="E65" s="317"/>
      <c r="F65" s="317" t="s">
        <v>185</v>
      </c>
      <c r="G65" s="31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17"/>
      <c r="B68" s="317"/>
      <c r="C68" s="317"/>
      <c r="D68" s="317"/>
      <c r="E68" s="317"/>
      <c r="F68" s="317"/>
      <c r="G68" s="317"/>
    </row>
    <row r="69" spans="1:7" ht="18">
      <c r="A69" s="309" t="s">
        <v>718</v>
      </c>
      <c r="B69" s="1239" t="s">
        <v>187</v>
      </c>
      <c r="C69" s="1236"/>
      <c r="D69" s="1236"/>
      <c r="E69" s="369"/>
      <c r="F69" s="1240" t="s">
        <v>188</v>
      </c>
      <c r="G69" s="1241"/>
    </row>
    <row r="70" spans="1:7" ht="18">
      <c r="A70" s="943" t="s">
        <v>435</v>
      </c>
      <c r="B70" s="1295" t="s">
        <v>190</v>
      </c>
      <c r="C70" s="1296"/>
      <c r="D70" s="1296"/>
      <c r="E70" s="944"/>
      <c r="F70" s="1297" t="s">
        <v>191</v>
      </c>
      <c r="G70" s="1298"/>
    </row>
    <row r="71" spans="1:7" ht="16.5">
      <c r="A71" s="1238"/>
      <c r="B71" s="1238"/>
      <c r="C71" s="1238"/>
      <c r="D71" s="1238"/>
      <c r="E71" s="1238"/>
      <c r="F71" s="1238"/>
      <c r="G71" s="1238"/>
    </row>
    <row r="72" spans="1:7" ht="18">
      <c r="A72" s="317"/>
      <c r="B72" s="317"/>
      <c r="C72" s="317"/>
      <c r="D72" s="317"/>
      <c r="E72" s="317"/>
      <c r="F72" s="317"/>
      <c r="G72" s="317"/>
    </row>
    <row r="73" spans="1:7" ht="16.5">
      <c r="A73" s="1238" t="s">
        <v>194</v>
      </c>
      <c r="B73" s="1238"/>
      <c r="C73" s="1238"/>
      <c r="D73" s="1238"/>
      <c r="E73" s="1238"/>
      <c r="F73" s="1238"/>
      <c r="G73" s="1238"/>
    </row>
    <row r="74" spans="1:7" ht="16.5">
      <c r="A74" s="1238"/>
      <c r="B74" s="1238"/>
      <c r="C74" s="1238"/>
      <c r="D74" s="1238"/>
      <c r="E74" s="1238"/>
      <c r="F74" s="1238"/>
      <c r="G74" s="1238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>
      <c r="A235" s="377"/>
      <c r="B235" s="377"/>
      <c r="C235" s="377"/>
      <c r="D235" s="377"/>
      <c r="E235" s="377"/>
      <c r="F235" s="377"/>
      <c r="G235" s="377"/>
    </row>
    <row r="236" spans="1:7">
      <c r="A236" s="377"/>
      <c r="B236" s="377"/>
      <c r="C236" s="377"/>
      <c r="D236" s="377"/>
      <c r="E236" s="377"/>
      <c r="F236" s="377"/>
      <c r="G236" s="377"/>
    </row>
    <row r="237" spans="1:7">
      <c r="A237" s="377"/>
      <c r="B237" s="377"/>
      <c r="C237" s="377"/>
      <c r="D237" s="377"/>
      <c r="E237" s="377"/>
      <c r="F237" s="377"/>
      <c r="G237" s="377"/>
    </row>
    <row r="238" spans="1:7">
      <c r="A238" s="377"/>
      <c r="B238" s="377"/>
      <c r="C238" s="377"/>
      <c r="D238" s="377"/>
      <c r="E238" s="377"/>
      <c r="F238" s="377"/>
      <c r="G238" s="377"/>
    </row>
    <row r="239" spans="1:7">
      <c r="A239" s="377"/>
      <c r="B239" s="377"/>
      <c r="C239" s="377"/>
      <c r="D239" s="377"/>
      <c r="E239" s="377"/>
      <c r="F239" s="377"/>
      <c r="G239" s="377"/>
    </row>
    <row r="240" spans="1:7">
      <c r="A240" s="377"/>
      <c r="B240" s="377"/>
      <c r="C240" s="377"/>
      <c r="D240" s="377"/>
      <c r="E240" s="377"/>
      <c r="F240" s="377"/>
      <c r="G240" s="377"/>
    </row>
    <row r="241" spans="1:7">
      <c r="A241" s="377"/>
      <c r="B241" s="377"/>
      <c r="C241" s="377"/>
      <c r="D241" s="377"/>
      <c r="E241" s="377"/>
      <c r="F241" s="377"/>
      <c r="G241" s="377"/>
    </row>
    <row r="242" spans="1:7">
      <c r="A242" s="377"/>
      <c r="B242" s="377"/>
      <c r="C242" s="377"/>
      <c r="D242" s="377"/>
      <c r="E242" s="377"/>
      <c r="F242" s="377"/>
      <c r="G242" s="377"/>
    </row>
    <row r="243" spans="1:7">
      <c r="A243" s="377"/>
      <c r="B243" s="377"/>
      <c r="C243" s="377"/>
      <c r="D243" s="377"/>
      <c r="E243" s="377"/>
      <c r="F243" s="377"/>
      <c r="G243" s="377"/>
    </row>
    <row r="244" spans="1:7">
      <c r="A244" s="377"/>
      <c r="B244" s="377"/>
      <c r="C244" s="377"/>
      <c r="D244" s="377"/>
      <c r="E244" s="377"/>
      <c r="F244" s="377"/>
      <c r="G244" s="377"/>
    </row>
    <row r="245" spans="1:7">
      <c r="A245" s="377"/>
      <c r="B245" s="377"/>
      <c r="C245" s="377"/>
      <c r="D245" s="377"/>
      <c r="E245" s="377"/>
      <c r="F245" s="377"/>
      <c r="G245" s="377"/>
    </row>
    <row r="246" spans="1:7">
      <c r="A246" s="377"/>
      <c r="B246" s="377"/>
      <c r="C246" s="377"/>
      <c r="D246" s="377"/>
      <c r="E246" s="377"/>
      <c r="F246" s="377"/>
      <c r="G246" s="377"/>
    </row>
    <row r="247" spans="1:7">
      <c r="A247" s="377"/>
      <c r="B247" s="377"/>
      <c r="C247" s="377"/>
      <c r="D247" s="377"/>
      <c r="E247" s="377"/>
      <c r="F247" s="377"/>
      <c r="G247" s="377"/>
    </row>
    <row r="248" spans="1:7">
      <c r="A248" s="377"/>
      <c r="B248" s="377"/>
      <c r="C248" s="377"/>
      <c r="D248" s="377"/>
      <c r="E248" s="377"/>
      <c r="F248" s="377"/>
      <c r="G248" s="377"/>
    </row>
    <row r="249" spans="1:7">
      <c r="A249" s="377"/>
      <c r="B249" s="377"/>
      <c r="C249" s="377"/>
      <c r="D249" s="377"/>
      <c r="E249" s="377"/>
      <c r="F249" s="377"/>
      <c r="G249" s="377"/>
    </row>
    <row r="250" spans="1:7">
      <c r="A250" s="377"/>
      <c r="B250" s="377"/>
      <c r="C250" s="377"/>
      <c r="D250" s="377"/>
      <c r="E250" s="377"/>
      <c r="F250" s="377"/>
      <c r="G250" s="377"/>
    </row>
    <row r="251" spans="1:7">
      <c r="A251" s="377"/>
      <c r="B251" s="377"/>
      <c r="C251" s="377"/>
      <c r="D251" s="377"/>
      <c r="E251" s="377"/>
      <c r="F251" s="377"/>
      <c r="G251" s="377"/>
    </row>
    <row r="252" spans="1:7">
      <c r="A252" s="377"/>
      <c r="B252" s="377"/>
      <c r="C252" s="377"/>
      <c r="D252" s="377"/>
      <c r="E252" s="377"/>
      <c r="F252" s="377"/>
      <c r="G252" s="37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</sheetData>
  <sheetProtection algorithmName="SHA-512" hashValue="dLIMkxPvpLdaa9IdNg54ltg4AFOrkIqqSZ7DiMBA2ZmUxnsEXxVqgGF4SHgA4ogFZuMysf32jM4UmG//DZITPQ==" saltValue="tTlohp0dOSxbgEAmmeaELQ==" spinCount="100000" sheet="1" objects="1" scenarios="1"/>
  <mergeCells count="15">
    <mergeCell ref="A74:G74"/>
    <mergeCell ref="B69:D69"/>
    <mergeCell ref="F69:G69"/>
    <mergeCell ref="B70:D70"/>
    <mergeCell ref="F70:G70"/>
    <mergeCell ref="A71:G71"/>
    <mergeCell ref="A73:G73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3FEA7-97BF-4078-A125-C16736935A55}">
  <dimension ref="A1:G998"/>
  <sheetViews>
    <sheetView topLeftCell="B1" zoomScaleNormal="100" workbookViewId="0">
      <selection activeCell="N24" sqref="N24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26"/>
      <c r="C2" s="1226"/>
      <c r="D2" s="1226"/>
      <c r="E2" s="1226"/>
      <c r="F2" s="1226"/>
      <c r="G2" s="1226"/>
    </row>
    <row r="3" spans="1:7" ht="18">
      <c r="A3" s="1227" t="s">
        <v>14</v>
      </c>
      <c r="B3" s="1226"/>
      <c r="C3" s="1226"/>
      <c r="D3" s="1226"/>
      <c r="E3" s="1226"/>
      <c r="F3" s="1226"/>
      <c r="G3" s="1226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7" t="s">
        <v>643</v>
      </c>
      <c r="B5" s="317"/>
      <c r="C5" s="317"/>
      <c r="D5" s="318"/>
      <c r="E5" s="317"/>
      <c r="F5" s="317"/>
      <c r="G5" s="317"/>
    </row>
    <row r="6" spans="1:7" ht="16.5" thickTop="1" thickBot="1">
      <c r="A6" s="1228" t="s">
        <v>16</v>
      </c>
      <c r="B6" s="1228" t="s">
        <v>17</v>
      </c>
      <c r="C6" s="1230" t="s">
        <v>561</v>
      </c>
      <c r="D6" s="1231" t="s">
        <v>574</v>
      </c>
      <c r="E6" s="1232"/>
      <c r="F6" s="1233"/>
      <c r="G6" s="1228" t="s">
        <v>556</v>
      </c>
    </row>
    <row r="7" spans="1:7" ht="35.25" thickTop="1">
      <c r="A7" s="1229"/>
      <c r="B7" s="1229"/>
      <c r="C7" s="1229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29"/>
      <c r="B8" s="1229"/>
      <c r="C8" s="1229"/>
      <c r="D8" s="321" t="s">
        <v>24</v>
      </c>
      <c r="E8" s="321" t="s">
        <v>25</v>
      </c>
      <c r="F8" s="1229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5"/>
      <c r="C10" s="325"/>
      <c r="D10" s="325"/>
      <c r="E10" s="325"/>
      <c r="F10" s="326"/>
      <c r="G10" s="327"/>
    </row>
    <row r="11" spans="1:7" ht="18">
      <c r="A11" s="328" t="s">
        <v>34</v>
      </c>
      <c r="B11" s="329"/>
      <c r="C11" s="330"/>
      <c r="D11" s="331"/>
      <c r="E11" s="331"/>
      <c r="F11" s="331"/>
      <c r="G11" s="332"/>
    </row>
    <row r="12" spans="1:7" ht="18">
      <c r="A12" s="333" t="s">
        <v>35</v>
      </c>
      <c r="B12" s="334"/>
      <c r="C12" s="335"/>
      <c r="D12" s="336"/>
      <c r="E12" s="336"/>
      <c r="F12" s="336"/>
      <c r="G12" s="337"/>
    </row>
    <row r="13" spans="1:7" ht="18">
      <c r="A13" s="338" t="s">
        <v>36</v>
      </c>
      <c r="B13" s="339" t="s">
        <v>37</v>
      </c>
      <c r="C13" s="38">
        <v>2010192</v>
      </c>
      <c r="D13" s="219">
        <v>1005096</v>
      </c>
      <c r="E13" s="38">
        <f>F13-D13</f>
        <v>1242024</v>
      </c>
      <c r="F13" s="57">
        <v>2247120</v>
      </c>
      <c r="G13" s="57">
        <v>2395691</v>
      </c>
    </row>
    <row r="14" spans="1:7" ht="18">
      <c r="A14" s="340" t="s">
        <v>40</v>
      </c>
      <c r="B14" s="339"/>
      <c r="C14" s="38"/>
      <c r="D14" s="219"/>
      <c r="E14" s="219"/>
      <c r="F14" s="57"/>
      <c r="G14" s="57"/>
    </row>
    <row r="15" spans="1:7" ht="18">
      <c r="A15" s="338" t="s">
        <v>41</v>
      </c>
      <c r="B15" s="339" t="s">
        <v>42</v>
      </c>
      <c r="C15" s="38">
        <v>96000</v>
      </c>
      <c r="D15" s="219">
        <v>48000</v>
      </c>
      <c r="E15" s="38">
        <f t="shared" ref="E15:E18" si="0">F15-D15</f>
        <v>72000</v>
      </c>
      <c r="F15" s="57">
        <v>120000</v>
      </c>
      <c r="G15" s="57">
        <v>120000</v>
      </c>
    </row>
    <row r="16" spans="1:7" ht="18">
      <c r="A16" s="338" t="s">
        <v>43</v>
      </c>
      <c r="B16" s="339" t="s">
        <v>44</v>
      </c>
      <c r="C16" s="38">
        <v>90000</v>
      </c>
      <c r="D16" s="219">
        <v>45000</v>
      </c>
      <c r="E16" s="38">
        <f t="shared" si="0"/>
        <v>45000</v>
      </c>
      <c r="F16" s="57">
        <v>90000</v>
      </c>
      <c r="G16" s="57">
        <v>102000</v>
      </c>
    </row>
    <row r="17" spans="1:7" ht="18">
      <c r="A17" s="338" t="s">
        <v>45</v>
      </c>
      <c r="B17" s="339" t="s">
        <v>46</v>
      </c>
      <c r="C17" s="38">
        <v>90000</v>
      </c>
      <c r="D17" s="219">
        <v>45000</v>
      </c>
      <c r="E17" s="38">
        <f t="shared" si="0"/>
        <v>45000</v>
      </c>
      <c r="F17" s="57">
        <v>90000</v>
      </c>
      <c r="G17" s="57">
        <v>102000</v>
      </c>
    </row>
    <row r="18" spans="1:7" ht="18">
      <c r="A18" s="338" t="s">
        <v>47</v>
      </c>
      <c r="B18" s="339" t="s">
        <v>48</v>
      </c>
      <c r="C18" s="38">
        <v>24000</v>
      </c>
      <c r="D18" s="219">
        <v>24000</v>
      </c>
      <c r="E18" s="38">
        <f t="shared" si="0"/>
        <v>6000</v>
      </c>
      <c r="F18" s="57">
        <v>30000</v>
      </c>
      <c r="G18" s="57">
        <v>35000</v>
      </c>
    </row>
    <row r="19" spans="1:7" ht="18">
      <c r="A19" s="338" t="s">
        <v>49</v>
      </c>
      <c r="B19" s="339" t="s">
        <v>50</v>
      </c>
      <c r="C19" s="38">
        <v>20000</v>
      </c>
      <c r="D19" s="38">
        <v>0</v>
      </c>
      <c r="E19" s="38">
        <v>25000</v>
      </c>
      <c r="F19" s="57">
        <v>25000</v>
      </c>
      <c r="G19" s="57">
        <v>25000</v>
      </c>
    </row>
    <row r="20" spans="1:7" ht="18">
      <c r="A20" s="338" t="s">
        <v>53</v>
      </c>
      <c r="B20" s="339" t="s">
        <v>54</v>
      </c>
      <c r="C20" s="38">
        <v>167516</v>
      </c>
      <c r="D20" s="219">
        <v>0</v>
      </c>
      <c r="E20" s="38">
        <f t="shared" ref="E20:E22" si="1">F20-D20</f>
        <v>187260</v>
      </c>
      <c r="F20" s="57">
        <v>187260</v>
      </c>
      <c r="G20" s="57">
        <v>204790</v>
      </c>
    </row>
    <row r="21" spans="1:7" ht="18">
      <c r="A21" s="338" t="s">
        <v>55</v>
      </c>
      <c r="B21" s="339" t="s">
        <v>56</v>
      </c>
      <c r="C21" s="38">
        <v>20000</v>
      </c>
      <c r="D21" s="219">
        <v>0</v>
      </c>
      <c r="E21" s="38">
        <f t="shared" si="1"/>
        <v>25000</v>
      </c>
      <c r="F21" s="57">
        <v>25000</v>
      </c>
      <c r="G21" s="57">
        <v>25000</v>
      </c>
    </row>
    <row r="22" spans="1:7" ht="18">
      <c r="A22" s="338" t="s">
        <v>57</v>
      </c>
      <c r="B22" s="339" t="s">
        <v>58</v>
      </c>
      <c r="C22" s="38">
        <v>167516</v>
      </c>
      <c r="D22" s="219">
        <v>167516</v>
      </c>
      <c r="E22" s="38">
        <f t="shared" si="1"/>
        <v>19744</v>
      </c>
      <c r="F22" s="57">
        <v>187260</v>
      </c>
      <c r="G22" s="57">
        <v>195963</v>
      </c>
    </row>
    <row r="23" spans="1:7" ht="18">
      <c r="A23" s="338" t="s">
        <v>557</v>
      </c>
      <c r="B23" s="339" t="s">
        <v>58</v>
      </c>
      <c r="C23" s="38">
        <v>0</v>
      </c>
      <c r="D23" s="219">
        <v>0</v>
      </c>
      <c r="E23" s="38">
        <v>0</v>
      </c>
      <c r="F23" s="38">
        <v>0</v>
      </c>
      <c r="G23" s="57">
        <v>35000</v>
      </c>
    </row>
    <row r="24" spans="1:7" ht="18">
      <c r="A24" s="340" t="s">
        <v>59</v>
      </c>
      <c r="B24" s="339"/>
      <c r="C24" s="38"/>
      <c r="D24" s="219"/>
      <c r="E24" s="219"/>
      <c r="F24" s="57"/>
      <c r="G24" s="57"/>
    </row>
    <row r="25" spans="1:7" ht="18">
      <c r="A25" s="338" t="s">
        <v>60</v>
      </c>
      <c r="B25" s="339" t="s">
        <v>61</v>
      </c>
      <c r="C25" s="38">
        <v>241223.04000000001</v>
      </c>
      <c r="D25" s="219">
        <v>120611.52</v>
      </c>
      <c r="E25" s="38">
        <f t="shared" ref="E25:E28" si="2">F25-D25</f>
        <v>149042.88</v>
      </c>
      <c r="F25" s="57">
        <v>269654.40000000002</v>
      </c>
      <c r="G25" s="57">
        <v>287482.92</v>
      </c>
    </row>
    <row r="26" spans="1:7" ht="18">
      <c r="A26" s="338" t="s">
        <v>62</v>
      </c>
      <c r="B26" s="339" t="s">
        <v>63</v>
      </c>
      <c r="C26" s="38">
        <v>4800</v>
      </c>
      <c r="D26" s="219">
        <v>4400</v>
      </c>
      <c r="E26" s="38">
        <f t="shared" si="2"/>
        <v>1600</v>
      </c>
      <c r="F26" s="57">
        <v>6000</v>
      </c>
      <c r="G26" s="57">
        <v>12000</v>
      </c>
    </row>
    <row r="27" spans="1:7" ht="18">
      <c r="A27" s="338" t="s">
        <v>64</v>
      </c>
      <c r="B27" s="339" t="s">
        <v>65</v>
      </c>
      <c r="C27" s="38">
        <v>37785.120000000003</v>
      </c>
      <c r="D27" s="219">
        <v>27205.72</v>
      </c>
      <c r="E27" s="38">
        <f t="shared" si="2"/>
        <v>23333.479999999996</v>
      </c>
      <c r="F27" s="57">
        <v>50539.199999999997</v>
      </c>
      <c r="G27" s="57">
        <v>59892.28</v>
      </c>
    </row>
    <row r="28" spans="1:7" ht="18">
      <c r="A28" s="341" t="s">
        <v>66</v>
      </c>
      <c r="B28" s="342" t="s">
        <v>67</v>
      </c>
      <c r="C28" s="97">
        <v>4800</v>
      </c>
      <c r="D28" s="343">
        <v>2400</v>
      </c>
      <c r="E28" s="97">
        <f t="shared" si="2"/>
        <v>3600</v>
      </c>
      <c r="F28" s="99">
        <v>6000</v>
      </c>
      <c r="G28" s="99">
        <v>6000</v>
      </c>
    </row>
    <row r="29" spans="1:7" ht="18">
      <c r="A29" s="340" t="s">
        <v>68</v>
      </c>
      <c r="B29" s="344"/>
      <c r="C29" s="345"/>
      <c r="D29" s="345"/>
      <c r="E29" s="345"/>
      <c r="F29" s="346"/>
      <c r="G29" s="346"/>
    </row>
    <row r="30" spans="1:7" ht="18.75" thickBot="1">
      <c r="A30" s="338" t="s">
        <v>558</v>
      </c>
      <c r="B30" s="347" t="s">
        <v>520</v>
      </c>
      <c r="C30" s="348">
        <v>0</v>
      </c>
      <c r="D30" s="348">
        <v>0</v>
      </c>
      <c r="E30" s="348"/>
      <c r="F30" s="349"/>
      <c r="G30" s="350">
        <v>96212.35</v>
      </c>
    </row>
    <row r="31" spans="1:7" ht="19.5" thickTop="1" thickBot="1">
      <c r="A31" s="351" t="s">
        <v>71</v>
      </c>
      <c r="B31" s="352"/>
      <c r="C31" s="112">
        <f t="shared" ref="C31:F31" si="3">SUM(C13:C28)</f>
        <v>2973832.16</v>
      </c>
      <c r="D31" s="112">
        <f t="shared" si="3"/>
        <v>1489229.24</v>
      </c>
      <c r="E31" s="112">
        <f t="shared" si="3"/>
        <v>1844604.3599999999</v>
      </c>
      <c r="F31" s="353">
        <f t="shared" si="3"/>
        <v>3333833.6</v>
      </c>
      <c r="G31" s="354">
        <f>SUM(G13:G30)</f>
        <v>3702031.55</v>
      </c>
    </row>
    <row r="32" spans="1:7" ht="18.75" thickTop="1">
      <c r="A32" s="355" t="s">
        <v>72</v>
      </c>
      <c r="B32" s="356"/>
      <c r="C32" s="91"/>
      <c r="D32" s="91"/>
      <c r="E32" s="91"/>
      <c r="F32" s="357"/>
      <c r="G32" s="358"/>
    </row>
    <row r="33" spans="1:7" ht="18">
      <c r="A33" s="359"/>
      <c r="B33" s="360"/>
      <c r="C33" s="38"/>
      <c r="D33" s="38"/>
      <c r="E33" s="38"/>
      <c r="F33" s="361"/>
      <c r="G33" s="57"/>
    </row>
    <row r="34" spans="1:7" ht="18">
      <c r="A34" s="359" t="s">
        <v>75</v>
      </c>
      <c r="B34" s="360" t="s">
        <v>76</v>
      </c>
      <c r="C34" s="38">
        <v>31965.5</v>
      </c>
      <c r="D34" s="38">
        <v>0</v>
      </c>
      <c r="E34" s="38">
        <v>0</v>
      </c>
      <c r="F34" s="362">
        <v>0</v>
      </c>
      <c r="G34" s="57">
        <v>0</v>
      </c>
    </row>
    <row r="35" spans="1:7" ht="18">
      <c r="A35" s="359" t="s">
        <v>77</v>
      </c>
      <c r="B35" s="360" t="s">
        <v>78</v>
      </c>
      <c r="C35" s="38">
        <v>59909</v>
      </c>
      <c r="D35" s="38">
        <v>0</v>
      </c>
      <c r="E35" s="38">
        <f t="shared" ref="E35:E37" si="4">F35-D35</f>
        <v>150000</v>
      </c>
      <c r="F35" s="363">
        <v>150000</v>
      </c>
      <c r="G35" s="145">
        <v>150000</v>
      </c>
    </row>
    <row r="36" spans="1:7" ht="18">
      <c r="A36" s="338" t="s">
        <v>81</v>
      </c>
      <c r="B36" s="339" t="s">
        <v>82</v>
      </c>
      <c r="C36" s="38">
        <v>16862.14</v>
      </c>
      <c r="D36" s="38">
        <v>17000</v>
      </c>
      <c r="E36" s="38">
        <f t="shared" si="4"/>
        <v>45100</v>
      </c>
      <c r="F36" s="361">
        <v>62100</v>
      </c>
      <c r="G36" s="57">
        <v>60000</v>
      </c>
    </row>
    <row r="37" spans="1:7" ht="18.75" thickBot="1">
      <c r="A37" s="364" t="s">
        <v>83</v>
      </c>
      <c r="B37" s="365" t="s">
        <v>84</v>
      </c>
      <c r="C37" s="97">
        <v>60000</v>
      </c>
      <c r="D37" s="97">
        <v>25000</v>
      </c>
      <c r="E37" s="97">
        <f t="shared" si="4"/>
        <v>35000</v>
      </c>
      <c r="F37" s="366">
        <v>60000</v>
      </c>
      <c r="G37" s="99">
        <v>60000</v>
      </c>
    </row>
    <row r="38" spans="1:7" ht="19.5" thickTop="1" thickBot="1">
      <c r="A38" s="351" t="s">
        <v>162</v>
      </c>
      <c r="B38" s="367"/>
      <c r="C38" s="112">
        <f>SUM(C33:C37)</f>
        <v>168736.64000000001</v>
      </c>
      <c r="D38" s="112">
        <f t="shared" ref="D38:F38" si="5">SUM(D33:D37)</f>
        <v>42000</v>
      </c>
      <c r="E38" s="112">
        <f t="shared" si="5"/>
        <v>230100</v>
      </c>
      <c r="F38" s="112">
        <f t="shared" si="5"/>
        <v>272100</v>
      </c>
      <c r="G38" s="112">
        <f>SUM(G33:G37)</f>
        <v>270000</v>
      </c>
    </row>
    <row r="39" spans="1:7" ht="19.5" thickTop="1" thickBot="1">
      <c r="A39" s="351" t="s">
        <v>181</v>
      </c>
      <c r="B39" s="367"/>
      <c r="C39" s="112">
        <f>C31+C38</f>
        <v>3142568.8000000003</v>
      </c>
      <c r="D39" s="112">
        <f t="shared" ref="D39:G39" si="6">D31+D38</f>
        <v>1531229.24</v>
      </c>
      <c r="E39" s="112">
        <f t="shared" si="6"/>
        <v>2074704.3599999999</v>
      </c>
      <c r="F39" s="112">
        <f t="shared" si="6"/>
        <v>3605933.6</v>
      </c>
      <c r="G39" s="112">
        <f t="shared" si="6"/>
        <v>3972031.55</v>
      </c>
    </row>
    <row r="40" spans="1:7" ht="18.75" thickTop="1">
      <c r="A40" s="317"/>
      <c r="B40" s="317"/>
      <c r="C40" s="317"/>
      <c r="D40" s="317"/>
      <c r="E40" s="317"/>
      <c r="F40" s="317"/>
      <c r="G40" s="317"/>
    </row>
    <row r="41" spans="1:7" ht="18">
      <c r="A41" s="317"/>
      <c r="B41" s="318"/>
      <c r="C41" s="317"/>
      <c r="D41" s="317"/>
      <c r="E41" s="317"/>
      <c r="F41" s="317"/>
      <c r="G41" s="317"/>
    </row>
    <row r="42" spans="1:7" ht="18">
      <c r="A42" s="317"/>
      <c r="B42" s="317"/>
      <c r="C42" s="317"/>
      <c r="D42" s="317"/>
      <c r="E42" s="317"/>
      <c r="F42" s="317"/>
      <c r="G42" s="317"/>
    </row>
    <row r="43" spans="1:7" ht="18">
      <c r="A43" s="317"/>
      <c r="B43" s="317"/>
      <c r="C43" s="317"/>
      <c r="D43" s="317"/>
      <c r="E43" s="317"/>
      <c r="F43" s="317"/>
      <c r="G43" s="317"/>
    </row>
    <row r="44" spans="1:7" ht="18">
      <c r="A44" s="317"/>
      <c r="B44" s="317"/>
      <c r="C44" s="317"/>
      <c r="D44" s="317"/>
      <c r="E44" s="317"/>
      <c r="F44" s="317"/>
      <c r="G44" s="317"/>
    </row>
    <row r="45" spans="1:7" ht="18">
      <c r="A45" s="317"/>
      <c r="B45" s="317"/>
      <c r="C45" s="317"/>
      <c r="D45" s="317"/>
      <c r="E45" s="317"/>
      <c r="F45" s="317"/>
      <c r="G45" s="317"/>
    </row>
    <row r="46" spans="1:7" ht="18">
      <c r="A46" s="317"/>
      <c r="B46" s="317"/>
      <c r="C46" s="317"/>
      <c r="D46" s="317"/>
      <c r="E46" s="317"/>
      <c r="F46" s="317"/>
      <c r="G46" s="317"/>
    </row>
    <row r="47" spans="1:7" ht="18">
      <c r="A47" s="317"/>
      <c r="B47" s="317"/>
      <c r="C47" s="317"/>
      <c r="D47" s="317"/>
      <c r="E47" s="317"/>
      <c r="F47" s="317"/>
      <c r="G47" s="317"/>
    </row>
    <row r="48" spans="1:7" ht="18">
      <c r="A48" s="309"/>
      <c r="B48" s="1239"/>
      <c r="C48" s="1236"/>
      <c r="D48" s="1236"/>
      <c r="E48" s="369"/>
      <c r="F48" s="1240"/>
      <c r="G48" s="1226"/>
    </row>
    <row r="49" spans="1:7" ht="18">
      <c r="A49" s="371"/>
      <c r="B49" s="1235"/>
      <c r="C49" s="1236"/>
      <c r="D49" s="1236"/>
      <c r="E49" s="372"/>
      <c r="F49" s="1237"/>
      <c r="G49" s="1226"/>
    </row>
    <row r="50" spans="1:7" ht="18">
      <c r="A50" s="317"/>
      <c r="B50" s="317"/>
      <c r="C50" s="317"/>
      <c r="D50" s="317"/>
      <c r="E50" s="317"/>
      <c r="F50" s="317"/>
      <c r="G50" s="317"/>
    </row>
    <row r="51" spans="1:7" ht="18">
      <c r="A51" s="317"/>
      <c r="B51" s="317"/>
      <c r="C51" s="317"/>
      <c r="D51" s="317"/>
      <c r="E51" s="317"/>
      <c r="F51" s="317"/>
      <c r="G51" s="317"/>
    </row>
    <row r="52" spans="1:7" ht="18">
      <c r="A52" s="317"/>
      <c r="B52" s="317"/>
      <c r="C52" s="317"/>
      <c r="D52" s="317"/>
      <c r="E52" s="317"/>
      <c r="F52" s="317"/>
      <c r="G52" s="317"/>
    </row>
    <row r="53" spans="1:7" ht="18">
      <c r="A53" s="317"/>
      <c r="B53" s="317"/>
      <c r="C53" s="317"/>
      <c r="D53" s="317"/>
      <c r="E53" s="317"/>
      <c r="F53" s="317"/>
      <c r="G53" s="317"/>
    </row>
    <row r="54" spans="1:7" ht="18">
      <c r="A54" s="317"/>
      <c r="B54" s="317"/>
      <c r="C54" s="317"/>
      <c r="D54" s="317"/>
      <c r="E54" s="317"/>
      <c r="F54" s="317"/>
      <c r="G54" s="317"/>
    </row>
    <row r="55" spans="1:7" ht="18">
      <c r="A55" s="317"/>
      <c r="B55" s="317"/>
      <c r="C55" s="317"/>
      <c r="D55" s="317"/>
      <c r="E55" s="317"/>
      <c r="F55" s="317"/>
      <c r="G55" s="317"/>
    </row>
    <row r="56" spans="1:7" ht="18">
      <c r="A56" s="317"/>
      <c r="B56" s="317"/>
      <c r="C56" s="317"/>
      <c r="D56" s="317"/>
      <c r="E56" s="317"/>
      <c r="F56" s="317"/>
      <c r="G56" s="317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/>
      <c r="B58" s="317"/>
      <c r="C58" s="317"/>
      <c r="D58" s="317"/>
      <c r="E58" s="317"/>
      <c r="F58" s="317"/>
      <c r="G58" s="317"/>
    </row>
    <row r="59" spans="1:7" ht="18">
      <c r="A59" s="317"/>
      <c r="B59" s="317"/>
      <c r="C59" s="317"/>
      <c r="D59" s="317"/>
      <c r="E59" s="317"/>
      <c r="F59" s="317"/>
      <c r="G59" s="317"/>
    </row>
    <row r="60" spans="1:7" ht="18">
      <c r="A60" s="317"/>
      <c r="B60" s="317"/>
      <c r="C60" s="317"/>
      <c r="D60" s="317"/>
      <c r="E60" s="317"/>
      <c r="F60" s="317"/>
      <c r="G60" s="317"/>
    </row>
    <row r="61" spans="1:7" ht="18">
      <c r="A61" s="317" t="s">
        <v>183</v>
      </c>
      <c r="B61" s="317" t="s">
        <v>184</v>
      </c>
      <c r="C61" s="317"/>
      <c r="D61" s="317"/>
      <c r="E61" s="317"/>
      <c r="F61" s="317" t="s">
        <v>185</v>
      </c>
      <c r="G61" s="317"/>
    </row>
    <row r="62" spans="1:7" ht="18">
      <c r="A62" s="317"/>
      <c r="B62" s="317"/>
      <c r="C62" s="317"/>
      <c r="D62" s="317"/>
      <c r="E62" s="317"/>
      <c r="F62" s="317"/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8">
      <c r="A64" s="317"/>
      <c r="B64" s="317"/>
      <c r="C64" s="317"/>
      <c r="D64" s="317"/>
      <c r="E64" s="317"/>
      <c r="F64" s="317"/>
      <c r="G64" s="317"/>
    </row>
    <row r="65" spans="1:7" ht="18">
      <c r="A65" s="317"/>
      <c r="B65" s="317"/>
      <c r="C65" s="317"/>
      <c r="D65" s="317"/>
      <c r="E65" s="317"/>
      <c r="F65" s="317"/>
      <c r="G65" s="31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09" t="s">
        <v>644</v>
      </c>
      <c r="B68" s="1239" t="s">
        <v>187</v>
      </c>
      <c r="C68" s="1236"/>
      <c r="D68" s="1236"/>
      <c r="E68" s="369"/>
      <c r="F68" s="1240" t="s">
        <v>188</v>
      </c>
      <c r="G68" s="1226"/>
    </row>
    <row r="69" spans="1:7" ht="18">
      <c r="A69" s="371" t="s">
        <v>193</v>
      </c>
      <c r="B69" s="1235" t="s">
        <v>190</v>
      </c>
      <c r="C69" s="1236"/>
      <c r="D69" s="1236"/>
      <c r="E69" s="372"/>
      <c r="F69" s="1237" t="s">
        <v>191</v>
      </c>
      <c r="G69" s="1226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6.5">
      <c r="A72" s="1238" t="s">
        <v>194</v>
      </c>
      <c r="B72" s="1238"/>
      <c r="C72" s="1238"/>
      <c r="D72" s="1238"/>
      <c r="E72" s="1238"/>
      <c r="F72" s="1238"/>
      <c r="G72" s="1238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 ht="18">
      <c r="A249" s="317"/>
      <c r="B249" s="317"/>
      <c r="C249" s="317"/>
      <c r="D249" s="317"/>
      <c r="E249" s="317"/>
      <c r="F249" s="317"/>
      <c r="G249" s="317"/>
    </row>
    <row r="250" spans="1:7" ht="18">
      <c r="A250" s="317"/>
      <c r="B250" s="317"/>
      <c r="C250" s="317"/>
      <c r="D250" s="317"/>
      <c r="E250" s="317"/>
      <c r="F250" s="317"/>
      <c r="G250" s="317"/>
    </row>
    <row r="251" spans="1:7" ht="18">
      <c r="A251" s="317"/>
      <c r="B251" s="317"/>
      <c r="C251" s="317"/>
      <c r="D251" s="317"/>
      <c r="E251" s="317"/>
      <c r="F251" s="317"/>
      <c r="G251" s="317"/>
    </row>
    <row r="252" spans="1:7" ht="18">
      <c r="A252" s="317"/>
      <c r="B252" s="317"/>
      <c r="C252" s="317"/>
      <c r="D252" s="317"/>
      <c r="E252" s="317"/>
      <c r="F252" s="317"/>
      <c r="G252" s="317"/>
    </row>
    <row r="253" spans="1:7" ht="18">
      <c r="A253" s="317"/>
      <c r="B253" s="317"/>
      <c r="C253" s="317"/>
      <c r="D253" s="317"/>
      <c r="E253" s="317"/>
      <c r="F253" s="317"/>
      <c r="G253" s="317"/>
    </row>
    <row r="254" spans="1:7" ht="18">
      <c r="A254" s="317"/>
      <c r="B254" s="317"/>
      <c r="C254" s="317"/>
      <c r="D254" s="317"/>
      <c r="E254" s="317"/>
      <c r="F254" s="317"/>
      <c r="G254" s="317"/>
    </row>
    <row r="255" spans="1:7" ht="18">
      <c r="A255" s="317"/>
      <c r="B255" s="317"/>
      <c r="C255" s="317"/>
      <c r="D255" s="317"/>
      <c r="E255" s="317"/>
      <c r="F255" s="317"/>
      <c r="G255" s="317"/>
    </row>
    <row r="256" spans="1:7" ht="18">
      <c r="A256" s="317"/>
      <c r="B256" s="317"/>
      <c r="C256" s="317"/>
      <c r="D256" s="317"/>
      <c r="E256" s="317"/>
      <c r="F256" s="317"/>
      <c r="G256" s="317"/>
    </row>
    <row r="257" spans="1:7" ht="18">
      <c r="A257" s="317"/>
      <c r="B257" s="317"/>
      <c r="C257" s="317"/>
      <c r="D257" s="317"/>
      <c r="E257" s="317"/>
      <c r="F257" s="317"/>
      <c r="G257" s="317"/>
    </row>
    <row r="258" spans="1:7" ht="18">
      <c r="A258" s="317"/>
      <c r="B258" s="317"/>
      <c r="C258" s="317"/>
      <c r="D258" s="317"/>
      <c r="E258" s="317"/>
      <c r="F258" s="317"/>
      <c r="G258" s="317"/>
    </row>
    <row r="259" spans="1:7" ht="18">
      <c r="A259" s="317"/>
      <c r="B259" s="317"/>
      <c r="C259" s="317"/>
      <c r="D259" s="317"/>
      <c r="E259" s="317"/>
      <c r="F259" s="317"/>
      <c r="G259" s="317"/>
    </row>
    <row r="260" spans="1:7" ht="18">
      <c r="A260" s="317"/>
      <c r="B260" s="317"/>
      <c r="C260" s="317"/>
      <c r="D260" s="317"/>
      <c r="E260" s="317"/>
      <c r="F260" s="317"/>
      <c r="G260" s="317"/>
    </row>
    <row r="261" spans="1:7" ht="18">
      <c r="A261" s="317"/>
      <c r="B261" s="317"/>
      <c r="C261" s="317"/>
      <c r="D261" s="317"/>
      <c r="E261" s="317"/>
      <c r="F261" s="317"/>
      <c r="G261" s="317"/>
    </row>
    <row r="262" spans="1:7" ht="18">
      <c r="A262" s="317"/>
      <c r="B262" s="317"/>
      <c r="C262" s="317"/>
      <c r="D262" s="317"/>
      <c r="E262" s="317"/>
      <c r="F262" s="317"/>
      <c r="G262" s="317"/>
    </row>
    <row r="263" spans="1:7" ht="18">
      <c r="A263" s="317"/>
      <c r="B263" s="317"/>
      <c r="C263" s="317"/>
      <c r="D263" s="317"/>
      <c r="E263" s="317"/>
      <c r="F263" s="317"/>
      <c r="G263" s="317"/>
    </row>
    <row r="264" spans="1:7" ht="18">
      <c r="A264" s="317"/>
      <c r="B264" s="317"/>
      <c r="C264" s="317"/>
      <c r="D264" s="317"/>
      <c r="E264" s="317"/>
      <c r="F264" s="317"/>
      <c r="G264" s="317"/>
    </row>
    <row r="265" spans="1:7" ht="18">
      <c r="A265" s="317"/>
      <c r="B265" s="317"/>
      <c r="C265" s="317"/>
      <c r="D265" s="317"/>
      <c r="E265" s="317"/>
      <c r="F265" s="317"/>
      <c r="G265" s="317"/>
    </row>
    <row r="266" spans="1:7" ht="18">
      <c r="A266" s="317"/>
      <c r="B266" s="317"/>
      <c r="C266" s="317"/>
      <c r="D266" s="317"/>
      <c r="E266" s="317"/>
      <c r="F266" s="317"/>
      <c r="G266" s="317"/>
    </row>
    <row r="267" spans="1:7" ht="18">
      <c r="A267" s="317"/>
      <c r="B267" s="317"/>
      <c r="C267" s="317"/>
      <c r="D267" s="317"/>
      <c r="E267" s="317"/>
      <c r="F267" s="317"/>
      <c r="G267" s="317"/>
    </row>
    <row r="268" spans="1:7" ht="18">
      <c r="A268" s="317"/>
      <c r="B268" s="317"/>
      <c r="C268" s="317"/>
      <c r="D268" s="317"/>
      <c r="E268" s="317"/>
      <c r="F268" s="317"/>
      <c r="G268" s="317"/>
    </row>
    <row r="269" spans="1:7" ht="18">
      <c r="A269" s="317"/>
      <c r="B269" s="317"/>
      <c r="C269" s="317"/>
      <c r="D269" s="317"/>
      <c r="E269" s="317"/>
      <c r="F269" s="317"/>
      <c r="G269" s="317"/>
    </row>
    <row r="270" spans="1:7" ht="18">
      <c r="A270" s="317"/>
      <c r="B270" s="317"/>
      <c r="C270" s="317"/>
      <c r="D270" s="317"/>
      <c r="E270" s="317"/>
      <c r="F270" s="317"/>
      <c r="G270" s="317"/>
    </row>
    <row r="271" spans="1:7" ht="18">
      <c r="A271" s="317"/>
      <c r="B271" s="317"/>
      <c r="C271" s="317"/>
      <c r="D271" s="317"/>
      <c r="E271" s="317"/>
      <c r="F271" s="317"/>
      <c r="G271" s="317"/>
    </row>
    <row r="272" spans="1:7" ht="18">
      <c r="A272" s="317"/>
      <c r="B272" s="317"/>
      <c r="C272" s="317"/>
      <c r="D272" s="317"/>
      <c r="E272" s="317"/>
      <c r="F272" s="317"/>
      <c r="G272" s="317"/>
    </row>
    <row r="273" spans="1:7" ht="18">
      <c r="A273" s="317"/>
      <c r="B273" s="317"/>
      <c r="C273" s="317"/>
      <c r="D273" s="317"/>
      <c r="E273" s="317"/>
      <c r="F273" s="317"/>
      <c r="G273" s="317"/>
    </row>
    <row r="274" spans="1:7" ht="18">
      <c r="A274" s="317"/>
      <c r="B274" s="317"/>
      <c r="C274" s="317"/>
      <c r="D274" s="317"/>
      <c r="E274" s="317"/>
      <c r="F274" s="317"/>
      <c r="G274" s="317"/>
    </row>
    <row r="275" spans="1:7" ht="18">
      <c r="A275" s="317"/>
      <c r="B275" s="317"/>
      <c r="C275" s="317"/>
      <c r="D275" s="317"/>
      <c r="E275" s="317"/>
      <c r="F275" s="317"/>
      <c r="G275" s="317"/>
    </row>
    <row r="276" spans="1:7" ht="18">
      <c r="A276" s="317"/>
      <c r="B276" s="317"/>
      <c r="C276" s="317"/>
      <c r="D276" s="317"/>
      <c r="E276" s="317"/>
      <c r="F276" s="317"/>
      <c r="G276" s="317"/>
    </row>
    <row r="277" spans="1:7" ht="18">
      <c r="A277" s="317"/>
      <c r="B277" s="317"/>
      <c r="C277" s="317"/>
      <c r="D277" s="317"/>
      <c r="E277" s="317"/>
      <c r="F277" s="317"/>
      <c r="G277" s="317"/>
    </row>
    <row r="278" spans="1:7" ht="18">
      <c r="A278" s="317"/>
      <c r="B278" s="317"/>
      <c r="C278" s="317"/>
      <c r="D278" s="317"/>
      <c r="E278" s="317"/>
      <c r="F278" s="317"/>
      <c r="G278" s="317"/>
    </row>
    <row r="279" spans="1:7" ht="18">
      <c r="A279" s="317"/>
      <c r="B279" s="317"/>
      <c r="C279" s="317"/>
      <c r="D279" s="317"/>
      <c r="E279" s="317"/>
      <c r="F279" s="317"/>
      <c r="G279" s="317"/>
    </row>
    <row r="280" spans="1:7" ht="18">
      <c r="A280" s="317"/>
      <c r="B280" s="317"/>
      <c r="C280" s="317"/>
      <c r="D280" s="317"/>
      <c r="E280" s="317"/>
      <c r="F280" s="317"/>
      <c r="G280" s="317"/>
    </row>
    <row r="281" spans="1:7" ht="18">
      <c r="A281" s="317"/>
      <c r="B281" s="317"/>
      <c r="C281" s="317"/>
      <c r="D281" s="317"/>
      <c r="E281" s="317"/>
      <c r="F281" s="317"/>
      <c r="G281" s="317"/>
    </row>
    <row r="282" spans="1:7" ht="18">
      <c r="A282" s="317"/>
      <c r="B282" s="317"/>
      <c r="C282" s="317"/>
      <c r="D282" s="317"/>
      <c r="E282" s="317"/>
      <c r="F282" s="317"/>
      <c r="G282" s="317"/>
    </row>
    <row r="283" spans="1:7" ht="18">
      <c r="A283" s="317"/>
      <c r="B283" s="317"/>
      <c r="C283" s="317"/>
      <c r="D283" s="317"/>
      <c r="E283" s="317"/>
      <c r="F283" s="317"/>
      <c r="G283" s="317"/>
    </row>
    <row r="284" spans="1:7" ht="18">
      <c r="A284" s="317"/>
      <c r="B284" s="317"/>
      <c r="C284" s="317"/>
      <c r="D284" s="317"/>
      <c r="E284" s="317"/>
      <c r="F284" s="317"/>
      <c r="G284" s="317"/>
    </row>
    <row r="285" spans="1:7" ht="18">
      <c r="A285" s="317"/>
      <c r="B285" s="317"/>
      <c r="C285" s="317"/>
      <c r="D285" s="317"/>
      <c r="E285" s="317"/>
      <c r="F285" s="317"/>
      <c r="G285" s="317"/>
    </row>
    <row r="286" spans="1:7" ht="18">
      <c r="A286" s="317"/>
      <c r="B286" s="317"/>
      <c r="C286" s="317"/>
      <c r="D286" s="317"/>
      <c r="E286" s="317"/>
      <c r="F286" s="317"/>
      <c r="G286" s="317"/>
    </row>
    <row r="287" spans="1:7" ht="18">
      <c r="A287" s="317"/>
      <c r="B287" s="317"/>
      <c r="C287" s="317"/>
      <c r="D287" s="317"/>
      <c r="E287" s="317"/>
      <c r="F287" s="317"/>
      <c r="G287" s="317"/>
    </row>
    <row r="288" spans="1:7" ht="18">
      <c r="A288" s="317"/>
      <c r="B288" s="317"/>
      <c r="C288" s="317"/>
      <c r="D288" s="317"/>
      <c r="E288" s="317"/>
      <c r="F288" s="317"/>
      <c r="G288" s="317"/>
    </row>
    <row r="289" spans="1:7" ht="18">
      <c r="A289" s="317"/>
      <c r="B289" s="317"/>
      <c r="C289" s="317"/>
      <c r="D289" s="317"/>
      <c r="E289" s="317"/>
      <c r="F289" s="317"/>
      <c r="G289" s="317"/>
    </row>
    <row r="290" spans="1:7" ht="18">
      <c r="A290" s="317"/>
      <c r="B290" s="317"/>
      <c r="C290" s="317"/>
      <c r="D290" s="317"/>
      <c r="E290" s="317"/>
      <c r="F290" s="317"/>
      <c r="G290" s="317"/>
    </row>
    <row r="291" spans="1:7" ht="18">
      <c r="A291" s="317"/>
      <c r="B291" s="317"/>
      <c r="C291" s="317"/>
      <c r="D291" s="317"/>
      <c r="E291" s="317"/>
      <c r="F291" s="317"/>
      <c r="G291" s="317"/>
    </row>
    <row r="292" spans="1:7" ht="18">
      <c r="A292" s="317"/>
      <c r="B292" s="317"/>
      <c r="C292" s="317"/>
      <c r="D292" s="317"/>
      <c r="E292" s="317"/>
      <c r="F292" s="317"/>
      <c r="G292" s="317"/>
    </row>
    <row r="293" spans="1:7" ht="18">
      <c r="A293" s="317"/>
      <c r="B293" s="317"/>
      <c r="C293" s="317"/>
      <c r="D293" s="317"/>
      <c r="E293" s="317"/>
      <c r="F293" s="317"/>
      <c r="G293" s="317"/>
    </row>
    <row r="294" spans="1:7" ht="18">
      <c r="A294" s="317"/>
      <c r="B294" s="317"/>
      <c r="C294" s="317"/>
      <c r="D294" s="317"/>
      <c r="E294" s="317"/>
      <c r="F294" s="317"/>
      <c r="G294" s="317"/>
    </row>
    <row r="295" spans="1:7" ht="18">
      <c r="A295" s="317"/>
      <c r="B295" s="317"/>
      <c r="C295" s="317"/>
      <c r="D295" s="317"/>
      <c r="E295" s="317"/>
      <c r="F295" s="317"/>
      <c r="G295" s="317"/>
    </row>
    <row r="296" spans="1:7" ht="18">
      <c r="A296" s="317"/>
      <c r="B296" s="317"/>
      <c r="C296" s="317"/>
      <c r="D296" s="317"/>
      <c r="E296" s="317"/>
      <c r="F296" s="317"/>
      <c r="G296" s="317"/>
    </row>
    <row r="297" spans="1:7" ht="18">
      <c r="A297" s="317"/>
      <c r="B297" s="317"/>
      <c r="C297" s="317"/>
      <c r="D297" s="317"/>
      <c r="E297" s="317"/>
      <c r="F297" s="317"/>
      <c r="G297" s="317"/>
    </row>
    <row r="298" spans="1:7" ht="18">
      <c r="A298" s="317"/>
      <c r="B298" s="317"/>
      <c r="C298" s="317"/>
      <c r="D298" s="317"/>
      <c r="E298" s="317"/>
      <c r="F298" s="317"/>
      <c r="G298" s="317"/>
    </row>
    <row r="299" spans="1:7" ht="18">
      <c r="A299" s="317"/>
      <c r="B299" s="317"/>
      <c r="C299" s="317"/>
      <c r="D299" s="317"/>
      <c r="E299" s="317"/>
      <c r="F299" s="317"/>
      <c r="G299" s="317"/>
    </row>
    <row r="300" spans="1:7" ht="18">
      <c r="A300" s="317"/>
      <c r="B300" s="317"/>
      <c r="C300" s="317"/>
      <c r="D300" s="317"/>
      <c r="E300" s="317"/>
      <c r="F300" s="317"/>
      <c r="G300" s="317"/>
    </row>
    <row r="301" spans="1:7" ht="18">
      <c r="A301" s="317"/>
      <c r="B301" s="317"/>
      <c r="C301" s="317"/>
      <c r="D301" s="317"/>
      <c r="E301" s="317"/>
      <c r="F301" s="317"/>
      <c r="G301" s="317"/>
    </row>
    <row r="302" spans="1:7" ht="18">
      <c r="A302" s="317"/>
      <c r="B302" s="317"/>
      <c r="C302" s="317"/>
      <c r="D302" s="317"/>
      <c r="E302" s="317"/>
      <c r="F302" s="317"/>
      <c r="G302" s="317"/>
    </row>
    <row r="303" spans="1:7" ht="18">
      <c r="A303" s="317"/>
      <c r="B303" s="317"/>
      <c r="C303" s="317"/>
      <c r="D303" s="317"/>
      <c r="E303" s="317"/>
      <c r="F303" s="317"/>
      <c r="G303" s="317"/>
    </row>
    <row r="304" spans="1:7" ht="18">
      <c r="A304" s="317"/>
      <c r="B304" s="317"/>
      <c r="C304" s="317"/>
      <c r="D304" s="317"/>
      <c r="E304" s="317"/>
      <c r="F304" s="317"/>
      <c r="G304" s="317"/>
    </row>
    <row r="305" spans="1:7" ht="18">
      <c r="A305" s="317"/>
      <c r="B305" s="317"/>
      <c r="C305" s="317"/>
      <c r="D305" s="317"/>
      <c r="E305" s="317"/>
      <c r="F305" s="317"/>
      <c r="G305" s="317"/>
    </row>
    <row r="306" spans="1:7" ht="18">
      <c r="A306" s="317"/>
      <c r="B306" s="317"/>
      <c r="C306" s="317"/>
      <c r="D306" s="317"/>
      <c r="E306" s="317"/>
      <c r="F306" s="317"/>
      <c r="G306" s="317"/>
    </row>
    <row r="307" spans="1:7" ht="18">
      <c r="A307" s="317"/>
      <c r="B307" s="317"/>
      <c r="C307" s="317"/>
      <c r="D307" s="317"/>
      <c r="E307" s="317"/>
      <c r="F307" s="317"/>
      <c r="G307" s="317"/>
    </row>
    <row r="308" spans="1:7" ht="18">
      <c r="A308" s="317"/>
      <c r="B308" s="317"/>
      <c r="C308" s="317"/>
      <c r="D308" s="317"/>
      <c r="E308" s="317"/>
      <c r="F308" s="317"/>
      <c r="G308" s="317"/>
    </row>
    <row r="309" spans="1:7" ht="18">
      <c r="A309" s="317"/>
      <c r="B309" s="317"/>
      <c r="C309" s="317"/>
      <c r="D309" s="317"/>
      <c r="E309" s="317"/>
      <c r="F309" s="317"/>
      <c r="G309" s="317"/>
    </row>
    <row r="310" spans="1:7" ht="18">
      <c r="A310" s="317"/>
      <c r="B310" s="317"/>
      <c r="C310" s="317"/>
      <c r="D310" s="317"/>
      <c r="E310" s="317"/>
      <c r="F310" s="317"/>
      <c r="G310" s="317"/>
    </row>
    <row r="311" spans="1:7" ht="18">
      <c r="A311" s="317"/>
      <c r="B311" s="317"/>
      <c r="C311" s="317"/>
      <c r="D311" s="317"/>
      <c r="E311" s="317"/>
      <c r="F311" s="317"/>
      <c r="G311" s="317"/>
    </row>
    <row r="312" spans="1:7" ht="18">
      <c r="A312" s="317"/>
      <c r="B312" s="317"/>
      <c r="C312" s="317"/>
      <c r="D312" s="317"/>
      <c r="E312" s="317"/>
      <c r="F312" s="317"/>
      <c r="G312" s="317"/>
    </row>
    <row r="313" spans="1:7" ht="18">
      <c r="A313" s="317"/>
      <c r="B313" s="317"/>
      <c r="C313" s="317"/>
      <c r="D313" s="317"/>
      <c r="E313" s="317"/>
      <c r="F313" s="317"/>
      <c r="G313" s="317"/>
    </row>
    <row r="314" spans="1:7" ht="18">
      <c r="A314" s="317"/>
      <c r="B314" s="317"/>
      <c r="C314" s="317"/>
      <c r="D314" s="317"/>
      <c r="E314" s="317"/>
      <c r="F314" s="317"/>
      <c r="G314" s="317"/>
    </row>
    <row r="315" spans="1:7" ht="18">
      <c r="A315" s="317"/>
      <c r="B315" s="317"/>
      <c r="C315" s="317"/>
      <c r="D315" s="317"/>
      <c r="E315" s="317"/>
      <c r="F315" s="317"/>
      <c r="G315" s="317"/>
    </row>
    <row r="316" spans="1:7" ht="18">
      <c r="A316" s="317"/>
      <c r="B316" s="317"/>
      <c r="C316" s="317"/>
      <c r="D316" s="317"/>
      <c r="E316" s="317"/>
      <c r="F316" s="317"/>
      <c r="G316" s="317"/>
    </row>
    <row r="317" spans="1:7" ht="18">
      <c r="A317" s="317"/>
      <c r="B317" s="317"/>
      <c r="C317" s="317"/>
      <c r="D317" s="317"/>
      <c r="E317" s="317"/>
      <c r="F317" s="317"/>
      <c r="G317" s="317"/>
    </row>
    <row r="318" spans="1:7" ht="18">
      <c r="A318" s="317"/>
      <c r="B318" s="317"/>
      <c r="C318" s="317"/>
      <c r="D318" s="317"/>
      <c r="E318" s="317"/>
      <c r="F318" s="317"/>
      <c r="G318" s="317"/>
    </row>
    <row r="319" spans="1:7" ht="18">
      <c r="A319" s="317"/>
      <c r="B319" s="317"/>
      <c r="C319" s="317"/>
      <c r="D319" s="317"/>
      <c r="E319" s="317"/>
      <c r="F319" s="317"/>
      <c r="G319" s="317"/>
    </row>
    <row r="320" spans="1:7" ht="18">
      <c r="A320" s="317"/>
      <c r="B320" s="317"/>
      <c r="C320" s="317"/>
      <c r="D320" s="317"/>
      <c r="E320" s="317"/>
      <c r="F320" s="317"/>
      <c r="G320" s="317"/>
    </row>
    <row r="321" spans="1:7" ht="18">
      <c r="A321" s="317"/>
      <c r="B321" s="317"/>
      <c r="C321" s="317"/>
      <c r="D321" s="317"/>
      <c r="E321" s="317"/>
      <c r="F321" s="317"/>
      <c r="G321" s="317"/>
    </row>
    <row r="322" spans="1:7" ht="18">
      <c r="A322" s="317"/>
      <c r="B322" s="317"/>
      <c r="C322" s="317"/>
      <c r="D322" s="317"/>
      <c r="E322" s="317"/>
      <c r="F322" s="317"/>
      <c r="G322" s="317"/>
    </row>
    <row r="323" spans="1:7" ht="18">
      <c r="A323" s="317"/>
      <c r="B323" s="317"/>
      <c r="C323" s="317"/>
      <c r="D323" s="317"/>
      <c r="E323" s="317"/>
      <c r="F323" s="317"/>
      <c r="G323" s="317"/>
    </row>
    <row r="324" spans="1:7" ht="18">
      <c r="A324" s="317"/>
      <c r="B324" s="317"/>
      <c r="C324" s="317"/>
      <c r="D324" s="317"/>
      <c r="E324" s="317"/>
      <c r="F324" s="317"/>
      <c r="G324" s="317"/>
    </row>
    <row r="325" spans="1:7" ht="18">
      <c r="A325" s="317"/>
      <c r="B325" s="317"/>
      <c r="C325" s="317"/>
      <c r="D325" s="317"/>
      <c r="E325" s="317"/>
      <c r="F325" s="317"/>
      <c r="G325" s="317"/>
    </row>
    <row r="326" spans="1:7" ht="18">
      <c r="A326" s="317"/>
      <c r="B326" s="317"/>
      <c r="C326" s="317"/>
      <c r="D326" s="317"/>
      <c r="E326" s="317"/>
      <c r="F326" s="317"/>
      <c r="G326" s="317"/>
    </row>
    <row r="327" spans="1:7" ht="18">
      <c r="A327" s="317"/>
      <c r="B327" s="317"/>
      <c r="C327" s="317"/>
      <c r="D327" s="317"/>
      <c r="E327" s="317"/>
      <c r="F327" s="317"/>
      <c r="G327" s="317"/>
    </row>
    <row r="328" spans="1:7" ht="18">
      <c r="A328" s="317"/>
      <c r="B328" s="317"/>
      <c r="C328" s="317"/>
      <c r="D328" s="317"/>
      <c r="E328" s="317"/>
      <c r="F328" s="317"/>
      <c r="G328" s="317"/>
    </row>
    <row r="329" spans="1:7" ht="18">
      <c r="A329" s="317"/>
      <c r="B329" s="317"/>
      <c r="C329" s="317"/>
      <c r="D329" s="317"/>
      <c r="E329" s="317"/>
      <c r="F329" s="317"/>
      <c r="G329" s="317"/>
    </row>
    <row r="330" spans="1:7" ht="18">
      <c r="A330" s="317"/>
      <c r="B330" s="317"/>
      <c r="C330" s="317"/>
      <c r="D330" s="317"/>
      <c r="E330" s="317"/>
      <c r="F330" s="317"/>
      <c r="G330" s="317"/>
    </row>
    <row r="331" spans="1:7" ht="18">
      <c r="A331" s="317"/>
      <c r="B331" s="317"/>
      <c r="C331" s="317"/>
      <c r="D331" s="317"/>
      <c r="E331" s="317"/>
      <c r="F331" s="317"/>
      <c r="G331" s="317"/>
    </row>
    <row r="332" spans="1:7" ht="18">
      <c r="A332" s="317"/>
      <c r="B332" s="317"/>
      <c r="C332" s="317"/>
      <c r="D332" s="317"/>
      <c r="E332" s="317"/>
      <c r="F332" s="317"/>
      <c r="G332" s="317"/>
    </row>
    <row r="333" spans="1:7" ht="18">
      <c r="A333" s="317"/>
      <c r="B333" s="317"/>
      <c r="C333" s="317"/>
      <c r="D333" s="317"/>
      <c r="E333" s="317"/>
      <c r="F333" s="317"/>
      <c r="G333" s="317"/>
    </row>
    <row r="334" spans="1:7" ht="18">
      <c r="A334" s="317"/>
      <c r="B334" s="317"/>
      <c r="C334" s="317"/>
      <c r="D334" s="317"/>
      <c r="E334" s="317"/>
      <c r="F334" s="317"/>
      <c r="G334" s="317"/>
    </row>
    <row r="335" spans="1:7" ht="18">
      <c r="A335" s="317"/>
      <c r="B335" s="317"/>
      <c r="C335" s="317"/>
      <c r="D335" s="317"/>
      <c r="E335" s="317"/>
      <c r="F335" s="317"/>
      <c r="G335" s="317"/>
    </row>
    <row r="336" spans="1:7" ht="18">
      <c r="A336" s="317"/>
      <c r="B336" s="317"/>
      <c r="C336" s="317"/>
      <c r="D336" s="317"/>
      <c r="E336" s="317"/>
      <c r="F336" s="317"/>
      <c r="G336" s="317"/>
    </row>
    <row r="337" spans="1:7" ht="18">
      <c r="A337" s="317"/>
      <c r="B337" s="317"/>
      <c r="C337" s="317"/>
      <c r="D337" s="317"/>
      <c r="E337" s="317"/>
      <c r="F337" s="317"/>
      <c r="G337" s="317"/>
    </row>
    <row r="338" spans="1:7" ht="18">
      <c r="A338" s="317"/>
      <c r="B338" s="317"/>
      <c r="C338" s="317"/>
      <c r="D338" s="317"/>
      <c r="E338" s="317"/>
      <c r="F338" s="317"/>
      <c r="G338" s="317"/>
    </row>
    <row r="339" spans="1:7" ht="18">
      <c r="A339" s="317"/>
      <c r="B339" s="317"/>
      <c r="C339" s="317"/>
      <c r="D339" s="317"/>
      <c r="E339" s="317"/>
      <c r="F339" s="317"/>
      <c r="G339" s="317"/>
    </row>
    <row r="340" spans="1:7" ht="18">
      <c r="A340" s="317"/>
      <c r="B340" s="317"/>
      <c r="C340" s="317"/>
      <c r="D340" s="317"/>
      <c r="E340" s="317"/>
      <c r="F340" s="317"/>
      <c r="G340" s="317"/>
    </row>
    <row r="341" spans="1:7" ht="18">
      <c r="A341" s="317"/>
      <c r="B341" s="317"/>
      <c r="C341" s="317"/>
      <c r="D341" s="317"/>
      <c r="E341" s="317"/>
      <c r="F341" s="317"/>
      <c r="G341" s="317"/>
    </row>
    <row r="342" spans="1:7" ht="18">
      <c r="A342" s="317"/>
      <c r="B342" s="317"/>
      <c r="C342" s="317"/>
      <c r="D342" s="317"/>
      <c r="E342" s="317"/>
      <c r="F342" s="317"/>
      <c r="G342" s="317"/>
    </row>
    <row r="343" spans="1:7" ht="18">
      <c r="A343" s="317"/>
      <c r="B343" s="317"/>
      <c r="C343" s="317"/>
      <c r="D343" s="317"/>
      <c r="E343" s="317"/>
      <c r="F343" s="317"/>
      <c r="G343" s="317"/>
    </row>
    <row r="344" spans="1:7" ht="18">
      <c r="A344" s="317"/>
      <c r="B344" s="317"/>
      <c r="C344" s="317"/>
      <c r="D344" s="317"/>
      <c r="E344" s="317"/>
      <c r="F344" s="317"/>
      <c r="G344" s="317"/>
    </row>
    <row r="345" spans="1:7" ht="18">
      <c r="A345" s="317"/>
      <c r="B345" s="317"/>
      <c r="C345" s="317"/>
      <c r="D345" s="317"/>
      <c r="E345" s="317"/>
      <c r="F345" s="317"/>
      <c r="G345" s="317"/>
    </row>
    <row r="346" spans="1:7" ht="18">
      <c r="A346" s="317"/>
      <c r="B346" s="317"/>
      <c r="C346" s="317"/>
      <c r="D346" s="317"/>
      <c r="E346" s="317"/>
      <c r="F346" s="317"/>
      <c r="G346" s="317"/>
    </row>
    <row r="347" spans="1:7" ht="18">
      <c r="A347" s="317"/>
      <c r="B347" s="317"/>
      <c r="C347" s="317"/>
      <c r="D347" s="317"/>
      <c r="E347" s="317"/>
      <c r="F347" s="317"/>
      <c r="G347" s="317"/>
    </row>
    <row r="348" spans="1:7" ht="18">
      <c r="A348" s="317"/>
      <c r="B348" s="317"/>
      <c r="C348" s="317"/>
      <c r="D348" s="317"/>
      <c r="E348" s="317"/>
      <c r="F348" s="317"/>
      <c r="G348" s="317"/>
    </row>
    <row r="349" spans="1:7" ht="18">
      <c r="A349" s="317"/>
      <c r="B349" s="317"/>
      <c r="C349" s="317"/>
      <c r="D349" s="317"/>
      <c r="E349" s="317"/>
      <c r="F349" s="317"/>
      <c r="G349" s="317"/>
    </row>
    <row r="350" spans="1:7" ht="18">
      <c r="A350" s="317"/>
      <c r="B350" s="317"/>
      <c r="C350" s="317"/>
      <c r="D350" s="317"/>
      <c r="E350" s="317"/>
      <c r="F350" s="317"/>
      <c r="G350" s="317"/>
    </row>
    <row r="351" spans="1:7" ht="18">
      <c r="A351" s="317"/>
      <c r="B351" s="317"/>
      <c r="C351" s="317"/>
      <c r="D351" s="317"/>
      <c r="E351" s="317"/>
      <c r="F351" s="317"/>
      <c r="G351" s="317"/>
    </row>
    <row r="352" spans="1:7" ht="18">
      <c r="A352" s="317"/>
      <c r="B352" s="317"/>
      <c r="C352" s="317"/>
      <c r="D352" s="317"/>
      <c r="E352" s="317"/>
      <c r="F352" s="317"/>
      <c r="G352" s="317"/>
    </row>
    <row r="353" spans="1:7" ht="18">
      <c r="A353" s="317"/>
      <c r="B353" s="317"/>
      <c r="C353" s="317"/>
      <c r="D353" s="317"/>
      <c r="E353" s="317"/>
      <c r="F353" s="317"/>
      <c r="G353" s="317"/>
    </row>
    <row r="354" spans="1:7" ht="18">
      <c r="A354" s="317"/>
      <c r="B354" s="317"/>
      <c r="C354" s="317"/>
      <c r="D354" s="317"/>
      <c r="E354" s="317"/>
      <c r="F354" s="317"/>
      <c r="G354" s="317"/>
    </row>
    <row r="355" spans="1:7" ht="18">
      <c r="A355" s="317"/>
      <c r="B355" s="317"/>
      <c r="C355" s="317"/>
      <c r="D355" s="317"/>
      <c r="E355" s="317"/>
      <c r="F355" s="317"/>
      <c r="G355" s="317"/>
    </row>
    <row r="356" spans="1:7" ht="18">
      <c r="A356" s="317"/>
      <c r="B356" s="317"/>
      <c r="C356" s="317"/>
      <c r="D356" s="317"/>
      <c r="E356" s="317"/>
      <c r="F356" s="317"/>
      <c r="G356" s="317"/>
    </row>
    <row r="357" spans="1:7" ht="18">
      <c r="A357" s="317"/>
      <c r="B357" s="317"/>
      <c r="C357" s="317"/>
      <c r="D357" s="317"/>
      <c r="E357" s="317"/>
      <c r="F357" s="317"/>
      <c r="G357" s="317"/>
    </row>
    <row r="358" spans="1:7" ht="18">
      <c r="A358" s="317"/>
      <c r="B358" s="317"/>
      <c r="C358" s="317"/>
      <c r="D358" s="317"/>
      <c r="E358" s="317"/>
      <c r="F358" s="317"/>
      <c r="G358" s="317"/>
    </row>
    <row r="359" spans="1:7" ht="18">
      <c r="A359" s="317"/>
      <c r="B359" s="317"/>
      <c r="C359" s="317"/>
      <c r="D359" s="317"/>
      <c r="E359" s="317"/>
      <c r="F359" s="317"/>
      <c r="G359" s="317"/>
    </row>
    <row r="360" spans="1:7" ht="18">
      <c r="A360" s="317"/>
      <c r="B360" s="317"/>
      <c r="C360" s="317"/>
      <c r="D360" s="317"/>
      <c r="E360" s="317"/>
      <c r="F360" s="317"/>
      <c r="G360" s="317"/>
    </row>
    <row r="361" spans="1:7" ht="18">
      <c r="A361" s="317"/>
      <c r="B361" s="317"/>
      <c r="C361" s="317"/>
      <c r="D361" s="317"/>
      <c r="E361" s="317"/>
      <c r="F361" s="317"/>
      <c r="G361" s="317"/>
    </row>
    <row r="362" spans="1:7" ht="18">
      <c r="A362" s="317"/>
      <c r="B362" s="317"/>
      <c r="C362" s="317"/>
      <c r="D362" s="317"/>
      <c r="E362" s="317"/>
      <c r="F362" s="317"/>
      <c r="G362" s="317"/>
    </row>
    <row r="363" spans="1:7" ht="18">
      <c r="A363" s="317"/>
      <c r="B363" s="317"/>
      <c r="C363" s="317"/>
      <c r="D363" s="317"/>
      <c r="E363" s="317"/>
      <c r="F363" s="317"/>
      <c r="G363" s="317"/>
    </row>
    <row r="364" spans="1:7" ht="18">
      <c r="A364" s="317"/>
      <c r="B364" s="317"/>
      <c r="C364" s="317"/>
      <c r="D364" s="317"/>
      <c r="E364" s="317"/>
      <c r="F364" s="317"/>
      <c r="G364" s="317"/>
    </row>
    <row r="365" spans="1:7" ht="18">
      <c r="A365" s="317"/>
      <c r="B365" s="317"/>
      <c r="C365" s="317"/>
      <c r="D365" s="317"/>
      <c r="E365" s="317"/>
      <c r="F365" s="317"/>
      <c r="G365" s="317"/>
    </row>
    <row r="366" spans="1:7" ht="18">
      <c r="A366" s="317"/>
      <c r="B366" s="317"/>
      <c r="C366" s="317"/>
      <c r="D366" s="317"/>
      <c r="E366" s="317"/>
      <c r="F366" s="317"/>
      <c r="G366" s="317"/>
    </row>
    <row r="367" spans="1:7" ht="18">
      <c r="A367" s="317"/>
      <c r="B367" s="317"/>
      <c r="C367" s="317"/>
      <c r="D367" s="317"/>
      <c r="E367" s="317"/>
      <c r="F367" s="317"/>
      <c r="G367" s="317"/>
    </row>
    <row r="368" spans="1:7" ht="18">
      <c r="A368" s="317"/>
      <c r="B368" s="317"/>
      <c r="C368" s="317"/>
      <c r="D368" s="317"/>
      <c r="E368" s="317"/>
      <c r="F368" s="317"/>
      <c r="G368" s="317"/>
    </row>
    <row r="369" spans="1:7" ht="18">
      <c r="A369" s="317"/>
      <c r="B369" s="317"/>
      <c r="C369" s="317"/>
      <c r="D369" s="317"/>
      <c r="E369" s="317"/>
      <c r="F369" s="317"/>
      <c r="G369" s="317"/>
    </row>
    <row r="370" spans="1:7" ht="18">
      <c r="A370" s="317"/>
      <c r="B370" s="317"/>
      <c r="C370" s="317"/>
      <c r="D370" s="317"/>
      <c r="E370" s="317"/>
      <c r="F370" s="317"/>
      <c r="G370" s="317"/>
    </row>
    <row r="371" spans="1:7" ht="18">
      <c r="A371" s="317"/>
      <c r="B371" s="317"/>
      <c r="C371" s="317"/>
      <c r="D371" s="317"/>
      <c r="E371" s="317"/>
      <c r="F371" s="317"/>
      <c r="G371" s="317"/>
    </row>
    <row r="372" spans="1:7" ht="18">
      <c r="A372" s="317"/>
      <c r="B372" s="317"/>
      <c r="C372" s="317"/>
      <c r="D372" s="317"/>
      <c r="E372" s="317"/>
      <c r="F372" s="317"/>
      <c r="G372" s="317"/>
    </row>
    <row r="373" spans="1:7" ht="18">
      <c r="A373" s="317"/>
      <c r="B373" s="317"/>
      <c r="C373" s="317"/>
      <c r="D373" s="317"/>
      <c r="E373" s="317"/>
      <c r="F373" s="317"/>
      <c r="G373" s="317"/>
    </row>
    <row r="374" spans="1:7" ht="18">
      <c r="A374" s="317"/>
      <c r="B374" s="317"/>
      <c r="C374" s="317"/>
      <c r="D374" s="317"/>
      <c r="E374" s="317"/>
      <c r="F374" s="317"/>
      <c r="G374" s="317"/>
    </row>
    <row r="375" spans="1:7" ht="18">
      <c r="A375" s="317"/>
      <c r="B375" s="317"/>
      <c r="C375" s="317"/>
      <c r="D375" s="317"/>
      <c r="E375" s="317"/>
      <c r="F375" s="317"/>
      <c r="G375" s="317"/>
    </row>
    <row r="376" spans="1:7" ht="18">
      <c r="A376" s="317"/>
      <c r="B376" s="317"/>
      <c r="C376" s="317"/>
      <c r="D376" s="317"/>
      <c r="E376" s="317"/>
      <c r="F376" s="317"/>
      <c r="G376" s="317"/>
    </row>
    <row r="377" spans="1:7" ht="18">
      <c r="A377" s="317"/>
      <c r="B377" s="317"/>
      <c r="C377" s="317"/>
      <c r="D377" s="317"/>
      <c r="E377" s="317"/>
      <c r="F377" s="317"/>
      <c r="G377" s="317"/>
    </row>
    <row r="378" spans="1:7" ht="18">
      <c r="A378" s="317"/>
      <c r="B378" s="317"/>
      <c r="C378" s="317"/>
      <c r="D378" s="317"/>
      <c r="E378" s="317"/>
      <c r="F378" s="317"/>
      <c r="G378" s="317"/>
    </row>
    <row r="379" spans="1:7" ht="18">
      <c r="A379" s="317"/>
      <c r="B379" s="317"/>
      <c r="C379" s="317"/>
      <c r="D379" s="317"/>
      <c r="E379" s="317"/>
      <c r="F379" s="317"/>
      <c r="G379" s="317"/>
    </row>
    <row r="380" spans="1:7" ht="18">
      <c r="A380" s="317"/>
      <c r="B380" s="317"/>
      <c r="C380" s="317"/>
      <c r="D380" s="317"/>
      <c r="E380" s="317"/>
      <c r="F380" s="317"/>
      <c r="G380" s="317"/>
    </row>
    <row r="381" spans="1:7" ht="18">
      <c r="A381" s="317"/>
      <c r="B381" s="317"/>
      <c r="C381" s="317"/>
      <c r="D381" s="317"/>
      <c r="E381" s="317"/>
      <c r="F381" s="317"/>
      <c r="G381" s="317"/>
    </row>
    <row r="382" spans="1:7" ht="18">
      <c r="A382" s="317"/>
      <c r="B382" s="317"/>
      <c r="C382" s="317"/>
      <c r="D382" s="317"/>
      <c r="E382" s="317"/>
      <c r="F382" s="317"/>
      <c r="G382" s="317"/>
    </row>
    <row r="383" spans="1:7" ht="18">
      <c r="A383" s="317"/>
      <c r="B383" s="317"/>
      <c r="C383" s="317"/>
      <c r="D383" s="317"/>
      <c r="E383" s="317"/>
      <c r="F383" s="317"/>
      <c r="G383" s="317"/>
    </row>
    <row r="384" spans="1:7" ht="18">
      <c r="A384" s="317"/>
      <c r="B384" s="317"/>
      <c r="C384" s="317"/>
      <c r="D384" s="317"/>
      <c r="E384" s="317"/>
      <c r="F384" s="317"/>
      <c r="G384" s="317"/>
    </row>
    <row r="385" spans="1:7" ht="18">
      <c r="A385" s="317"/>
      <c r="B385" s="317"/>
      <c r="C385" s="317"/>
      <c r="D385" s="317"/>
      <c r="E385" s="317"/>
      <c r="F385" s="317"/>
      <c r="G385" s="317"/>
    </row>
    <row r="386" spans="1:7" ht="18">
      <c r="A386" s="317"/>
      <c r="B386" s="317"/>
      <c r="C386" s="317"/>
      <c r="D386" s="317"/>
      <c r="E386" s="317"/>
      <c r="F386" s="317"/>
      <c r="G386" s="317"/>
    </row>
    <row r="387" spans="1:7" ht="18">
      <c r="A387" s="317"/>
      <c r="B387" s="317"/>
      <c r="C387" s="317"/>
      <c r="D387" s="317"/>
      <c r="E387" s="317"/>
      <c r="F387" s="317"/>
      <c r="G387" s="317"/>
    </row>
    <row r="388" spans="1:7" ht="18">
      <c r="A388" s="317"/>
      <c r="B388" s="317"/>
      <c r="C388" s="317"/>
      <c r="D388" s="317"/>
      <c r="E388" s="317"/>
      <c r="F388" s="317"/>
      <c r="G388" s="317"/>
    </row>
    <row r="389" spans="1:7" ht="18">
      <c r="A389" s="317"/>
      <c r="B389" s="317"/>
      <c r="C389" s="317"/>
      <c r="D389" s="317"/>
      <c r="E389" s="317"/>
      <c r="F389" s="317"/>
      <c r="G389" s="317"/>
    </row>
    <row r="390" spans="1:7" ht="18">
      <c r="A390" s="317"/>
      <c r="B390" s="317"/>
      <c r="C390" s="317"/>
      <c r="D390" s="317"/>
      <c r="E390" s="317"/>
      <c r="F390" s="317"/>
      <c r="G390" s="317"/>
    </row>
    <row r="391" spans="1:7" ht="18">
      <c r="A391" s="317"/>
      <c r="B391" s="317"/>
      <c r="C391" s="317"/>
      <c r="D391" s="317"/>
      <c r="E391" s="317"/>
      <c r="F391" s="317"/>
      <c r="G391" s="317"/>
    </row>
    <row r="392" spans="1:7" ht="18">
      <c r="A392" s="317"/>
      <c r="B392" s="317"/>
      <c r="C392" s="317"/>
      <c r="D392" s="317"/>
      <c r="E392" s="317"/>
      <c r="F392" s="317"/>
      <c r="G392" s="317"/>
    </row>
    <row r="393" spans="1:7" ht="18">
      <c r="A393" s="317"/>
      <c r="B393" s="317"/>
      <c r="C393" s="317"/>
      <c r="D393" s="317"/>
      <c r="E393" s="317"/>
      <c r="F393" s="317"/>
      <c r="G393" s="317"/>
    </row>
    <row r="394" spans="1:7" ht="18">
      <c r="A394" s="317"/>
      <c r="B394" s="317"/>
      <c r="C394" s="317"/>
      <c r="D394" s="317"/>
      <c r="E394" s="317"/>
      <c r="F394" s="317"/>
      <c r="G394" s="317"/>
    </row>
    <row r="395" spans="1:7" ht="18">
      <c r="A395" s="317"/>
      <c r="B395" s="317"/>
      <c r="C395" s="317"/>
      <c r="D395" s="317"/>
      <c r="E395" s="317"/>
      <c r="F395" s="317"/>
      <c r="G395" s="317"/>
    </row>
    <row r="396" spans="1:7" ht="18">
      <c r="A396" s="317"/>
      <c r="B396" s="317"/>
      <c r="C396" s="317"/>
      <c r="D396" s="317"/>
      <c r="E396" s="317"/>
      <c r="F396" s="317"/>
      <c r="G396" s="317"/>
    </row>
    <row r="397" spans="1:7" ht="18">
      <c r="A397" s="317"/>
      <c r="B397" s="317"/>
      <c r="C397" s="317"/>
      <c r="D397" s="317"/>
      <c r="E397" s="317"/>
      <c r="F397" s="317"/>
      <c r="G397" s="317"/>
    </row>
    <row r="398" spans="1:7" ht="18">
      <c r="A398" s="317"/>
      <c r="B398" s="317"/>
      <c r="C398" s="317"/>
      <c r="D398" s="317"/>
      <c r="E398" s="317"/>
      <c r="F398" s="317"/>
      <c r="G398" s="317"/>
    </row>
    <row r="399" spans="1:7" ht="18">
      <c r="A399" s="317"/>
      <c r="B399" s="317"/>
      <c r="C399" s="317"/>
      <c r="D399" s="317"/>
      <c r="E399" s="317"/>
      <c r="F399" s="317"/>
      <c r="G399" s="317"/>
    </row>
    <row r="400" spans="1:7" ht="18">
      <c r="A400" s="317"/>
      <c r="B400" s="317"/>
      <c r="C400" s="317"/>
      <c r="D400" s="317"/>
      <c r="E400" s="317"/>
      <c r="F400" s="317"/>
      <c r="G400" s="317"/>
    </row>
    <row r="401" spans="1:7" ht="18">
      <c r="A401" s="317"/>
      <c r="B401" s="317"/>
      <c r="C401" s="317"/>
      <c r="D401" s="317"/>
      <c r="E401" s="317"/>
      <c r="F401" s="317"/>
      <c r="G401" s="317"/>
    </row>
    <row r="402" spans="1:7" ht="18">
      <c r="A402" s="317"/>
      <c r="B402" s="317"/>
      <c r="C402" s="317"/>
      <c r="D402" s="317"/>
      <c r="E402" s="317"/>
      <c r="F402" s="317"/>
      <c r="G402" s="317"/>
    </row>
    <row r="403" spans="1:7" ht="18">
      <c r="A403" s="317"/>
      <c r="B403" s="317"/>
      <c r="C403" s="317"/>
      <c r="D403" s="317"/>
      <c r="E403" s="317"/>
      <c r="F403" s="317"/>
      <c r="G403" s="317"/>
    </row>
    <row r="404" spans="1:7" ht="18">
      <c r="A404" s="317"/>
      <c r="B404" s="317"/>
      <c r="C404" s="317"/>
      <c r="D404" s="317"/>
      <c r="E404" s="317"/>
      <c r="F404" s="317"/>
      <c r="G404" s="317"/>
    </row>
    <row r="405" spans="1:7" ht="18">
      <c r="A405" s="317"/>
      <c r="B405" s="317"/>
      <c r="C405" s="317"/>
      <c r="D405" s="317"/>
      <c r="E405" s="317"/>
      <c r="F405" s="317"/>
      <c r="G405" s="317"/>
    </row>
    <row r="406" spans="1:7" ht="18">
      <c r="A406" s="317"/>
      <c r="B406" s="317"/>
      <c r="C406" s="317"/>
      <c r="D406" s="317"/>
      <c r="E406" s="317"/>
      <c r="F406" s="317"/>
      <c r="G406" s="317"/>
    </row>
    <row r="407" spans="1:7" ht="18">
      <c r="A407" s="317"/>
      <c r="B407" s="317"/>
      <c r="C407" s="317"/>
      <c r="D407" s="317"/>
      <c r="E407" s="317"/>
      <c r="F407" s="317"/>
      <c r="G407" s="317"/>
    </row>
    <row r="408" spans="1:7" ht="18">
      <c r="A408" s="317"/>
      <c r="B408" s="317"/>
      <c r="C408" s="317"/>
      <c r="D408" s="317"/>
      <c r="E408" s="317"/>
      <c r="F408" s="317"/>
      <c r="G408" s="317"/>
    </row>
    <row r="409" spans="1:7" ht="18">
      <c r="A409" s="317"/>
      <c r="B409" s="317"/>
      <c r="C409" s="317"/>
      <c r="D409" s="317"/>
      <c r="E409" s="317"/>
      <c r="F409" s="317"/>
      <c r="G409" s="317"/>
    </row>
    <row r="410" spans="1:7" ht="18">
      <c r="A410" s="317"/>
      <c r="B410" s="317"/>
      <c r="C410" s="317"/>
      <c r="D410" s="317"/>
      <c r="E410" s="317"/>
      <c r="F410" s="317"/>
      <c r="G410" s="317"/>
    </row>
    <row r="411" spans="1:7" ht="18">
      <c r="A411" s="317"/>
      <c r="B411" s="317"/>
      <c r="C411" s="317"/>
      <c r="D411" s="317"/>
      <c r="E411" s="317"/>
      <c r="F411" s="317"/>
      <c r="G411" s="317"/>
    </row>
    <row r="412" spans="1:7" ht="18">
      <c r="A412" s="317"/>
      <c r="B412" s="317"/>
      <c r="C412" s="317"/>
      <c r="D412" s="317"/>
      <c r="E412" s="317"/>
      <c r="F412" s="317"/>
      <c r="G412" s="317"/>
    </row>
    <row r="413" spans="1:7" ht="18">
      <c r="A413" s="317"/>
      <c r="B413" s="317"/>
      <c r="C413" s="317"/>
      <c r="D413" s="317"/>
      <c r="E413" s="317"/>
      <c r="F413" s="317"/>
      <c r="G413" s="317"/>
    </row>
    <row r="414" spans="1:7" ht="18">
      <c r="A414" s="317"/>
      <c r="B414" s="317"/>
      <c r="C414" s="317"/>
      <c r="D414" s="317"/>
      <c r="E414" s="317"/>
      <c r="F414" s="317"/>
      <c r="G414" s="317"/>
    </row>
    <row r="415" spans="1:7" ht="18">
      <c r="A415" s="317"/>
      <c r="B415" s="317"/>
      <c r="C415" s="317"/>
      <c r="D415" s="317"/>
      <c r="E415" s="317"/>
      <c r="F415" s="317"/>
      <c r="G415" s="317"/>
    </row>
    <row r="416" spans="1:7" ht="18">
      <c r="A416" s="317"/>
      <c r="B416" s="317"/>
      <c r="C416" s="317"/>
      <c r="D416" s="317"/>
      <c r="E416" s="317"/>
      <c r="F416" s="317"/>
      <c r="G416" s="317"/>
    </row>
    <row r="417" spans="1:7" ht="18">
      <c r="A417" s="317"/>
      <c r="B417" s="317"/>
      <c r="C417" s="317"/>
      <c r="D417" s="317"/>
      <c r="E417" s="317"/>
      <c r="F417" s="317"/>
      <c r="G417" s="317"/>
    </row>
    <row r="418" spans="1:7" ht="18">
      <c r="A418" s="317"/>
      <c r="B418" s="317"/>
      <c r="C418" s="317"/>
      <c r="D418" s="317"/>
      <c r="E418" s="317"/>
      <c r="F418" s="317"/>
      <c r="G418" s="317"/>
    </row>
    <row r="419" spans="1:7" ht="18">
      <c r="A419" s="317"/>
      <c r="B419" s="317"/>
      <c r="C419" s="317"/>
      <c r="D419" s="317"/>
      <c r="E419" s="317"/>
      <c r="F419" s="317"/>
      <c r="G419" s="317"/>
    </row>
    <row r="420" spans="1:7" ht="18">
      <c r="A420" s="317"/>
      <c r="B420" s="317"/>
      <c r="C420" s="317"/>
      <c r="D420" s="317"/>
      <c r="E420" s="317"/>
      <c r="F420" s="317"/>
      <c r="G420" s="317"/>
    </row>
    <row r="421" spans="1:7" ht="18">
      <c r="A421" s="317"/>
      <c r="B421" s="317"/>
      <c r="C421" s="317"/>
      <c r="D421" s="317"/>
      <c r="E421" s="317"/>
      <c r="F421" s="317"/>
      <c r="G421" s="317"/>
    </row>
    <row r="422" spans="1:7" ht="18">
      <c r="A422" s="317"/>
      <c r="B422" s="317"/>
      <c r="C422" s="317"/>
      <c r="D422" s="317"/>
      <c r="E422" s="317"/>
      <c r="F422" s="317"/>
      <c r="G422" s="317"/>
    </row>
    <row r="423" spans="1:7" ht="18">
      <c r="A423" s="317"/>
      <c r="B423" s="317"/>
      <c r="C423" s="317"/>
      <c r="D423" s="317"/>
      <c r="E423" s="317"/>
      <c r="F423" s="317"/>
      <c r="G423" s="317"/>
    </row>
    <row r="424" spans="1:7" ht="18">
      <c r="A424" s="317"/>
      <c r="B424" s="317"/>
      <c r="C424" s="317"/>
      <c r="D424" s="317"/>
      <c r="E424" s="317"/>
      <c r="F424" s="317"/>
      <c r="G424" s="317"/>
    </row>
    <row r="425" spans="1:7" ht="18">
      <c r="A425" s="317"/>
      <c r="B425" s="317"/>
      <c r="C425" s="317"/>
      <c r="D425" s="317"/>
      <c r="E425" s="317"/>
      <c r="F425" s="317"/>
      <c r="G425" s="317"/>
    </row>
    <row r="426" spans="1:7" ht="18">
      <c r="A426" s="317"/>
      <c r="B426" s="317"/>
      <c r="C426" s="317"/>
      <c r="D426" s="317"/>
      <c r="E426" s="317"/>
      <c r="F426" s="317"/>
      <c r="G426" s="317"/>
    </row>
    <row r="427" spans="1:7" ht="18">
      <c r="A427" s="317"/>
      <c r="B427" s="317"/>
      <c r="C427" s="317"/>
      <c r="D427" s="317"/>
      <c r="E427" s="317"/>
      <c r="F427" s="317"/>
      <c r="G427" s="317"/>
    </row>
    <row r="428" spans="1:7" ht="18">
      <c r="A428" s="317"/>
      <c r="B428" s="317"/>
      <c r="C428" s="317"/>
      <c r="D428" s="317"/>
      <c r="E428" s="317"/>
      <c r="F428" s="317"/>
      <c r="G428" s="317"/>
    </row>
    <row r="429" spans="1:7" ht="18">
      <c r="A429" s="317"/>
      <c r="B429" s="317"/>
      <c r="C429" s="317"/>
      <c r="D429" s="317"/>
      <c r="E429" s="317"/>
      <c r="F429" s="317"/>
      <c r="G429" s="317"/>
    </row>
    <row r="430" spans="1:7" ht="18">
      <c r="A430" s="317"/>
      <c r="B430" s="317"/>
      <c r="C430" s="317"/>
      <c r="D430" s="317"/>
      <c r="E430" s="317"/>
      <c r="F430" s="317"/>
      <c r="G430" s="317"/>
    </row>
    <row r="431" spans="1:7" ht="18">
      <c r="A431" s="317"/>
      <c r="B431" s="317"/>
      <c r="C431" s="317"/>
      <c r="D431" s="317"/>
      <c r="E431" s="317"/>
      <c r="F431" s="317"/>
      <c r="G431" s="317"/>
    </row>
    <row r="432" spans="1:7" ht="18">
      <c r="A432" s="317"/>
      <c r="B432" s="317"/>
      <c r="C432" s="317"/>
      <c r="D432" s="317"/>
      <c r="E432" s="317"/>
      <c r="F432" s="317"/>
      <c r="G432" s="317"/>
    </row>
    <row r="433" spans="1:7" ht="18">
      <c r="A433" s="317"/>
      <c r="B433" s="317"/>
      <c r="C433" s="317"/>
      <c r="D433" s="317"/>
      <c r="E433" s="317"/>
      <c r="F433" s="317"/>
      <c r="G433" s="317"/>
    </row>
    <row r="434" spans="1:7" ht="18">
      <c r="A434" s="317"/>
      <c r="B434" s="317"/>
      <c r="C434" s="317"/>
      <c r="D434" s="317"/>
      <c r="E434" s="317"/>
      <c r="F434" s="317"/>
      <c r="G434" s="317"/>
    </row>
    <row r="435" spans="1:7" ht="18">
      <c r="A435" s="317"/>
      <c r="B435" s="317"/>
      <c r="C435" s="317"/>
      <c r="D435" s="317"/>
      <c r="E435" s="317"/>
      <c r="F435" s="317"/>
      <c r="G435" s="317"/>
    </row>
    <row r="436" spans="1:7" ht="18">
      <c r="A436" s="317"/>
      <c r="B436" s="317"/>
      <c r="C436" s="317"/>
      <c r="D436" s="317"/>
      <c r="E436" s="317"/>
      <c r="F436" s="317"/>
      <c r="G436" s="317"/>
    </row>
    <row r="437" spans="1:7" ht="18">
      <c r="A437" s="317"/>
      <c r="B437" s="317"/>
      <c r="C437" s="317"/>
      <c r="D437" s="317"/>
      <c r="E437" s="317"/>
      <c r="F437" s="317"/>
      <c r="G437" s="317"/>
    </row>
    <row r="438" spans="1:7" ht="18">
      <c r="A438" s="317"/>
      <c r="B438" s="317"/>
      <c r="C438" s="317"/>
      <c r="D438" s="317"/>
      <c r="E438" s="317"/>
      <c r="F438" s="317"/>
      <c r="G438" s="317"/>
    </row>
    <row r="439" spans="1:7" ht="18">
      <c r="A439" s="317"/>
      <c r="B439" s="317"/>
      <c r="C439" s="317"/>
      <c r="D439" s="317"/>
      <c r="E439" s="317"/>
      <c r="F439" s="317"/>
      <c r="G439" s="317"/>
    </row>
    <row r="440" spans="1:7" ht="18">
      <c r="A440" s="317"/>
      <c r="B440" s="317"/>
      <c r="C440" s="317"/>
      <c r="D440" s="317"/>
      <c r="E440" s="317"/>
      <c r="F440" s="317"/>
      <c r="G440" s="317"/>
    </row>
    <row r="441" spans="1:7" ht="18">
      <c r="A441" s="317"/>
      <c r="B441" s="317"/>
      <c r="C441" s="317"/>
      <c r="D441" s="317"/>
      <c r="E441" s="317"/>
      <c r="F441" s="317"/>
      <c r="G441" s="317"/>
    </row>
    <row r="442" spans="1:7" ht="18">
      <c r="A442" s="317"/>
      <c r="B442" s="317"/>
      <c r="C442" s="317"/>
      <c r="D442" s="317"/>
      <c r="E442" s="317"/>
      <c r="F442" s="317"/>
      <c r="G442" s="317"/>
    </row>
    <row r="443" spans="1:7" ht="18">
      <c r="A443" s="317"/>
      <c r="B443" s="317"/>
      <c r="C443" s="317"/>
      <c r="D443" s="317"/>
      <c r="E443" s="317"/>
      <c r="F443" s="317"/>
      <c r="G443" s="317"/>
    </row>
    <row r="444" spans="1:7" ht="18">
      <c r="A444" s="317"/>
      <c r="B444" s="317"/>
      <c r="C444" s="317"/>
      <c r="D444" s="317"/>
      <c r="E444" s="317"/>
      <c r="F444" s="317"/>
      <c r="G444" s="317"/>
    </row>
    <row r="445" spans="1:7" ht="18">
      <c r="A445" s="317"/>
      <c r="B445" s="317"/>
      <c r="C445" s="317"/>
      <c r="D445" s="317"/>
      <c r="E445" s="317"/>
      <c r="F445" s="317"/>
      <c r="G445" s="317"/>
    </row>
    <row r="446" spans="1:7" ht="18">
      <c r="A446" s="317"/>
      <c r="B446" s="317"/>
      <c r="C446" s="317"/>
      <c r="D446" s="317"/>
      <c r="E446" s="317"/>
      <c r="F446" s="317"/>
      <c r="G446" s="317"/>
    </row>
    <row r="447" spans="1:7" ht="18">
      <c r="A447" s="317"/>
      <c r="B447" s="317"/>
      <c r="C447" s="317"/>
      <c r="D447" s="317"/>
      <c r="E447" s="317"/>
      <c r="F447" s="317"/>
      <c r="G447" s="317"/>
    </row>
    <row r="448" spans="1:7" ht="18">
      <c r="A448" s="317"/>
      <c r="B448" s="317"/>
      <c r="C448" s="317"/>
      <c r="D448" s="317"/>
      <c r="E448" s="317"/>
      <c r="F448" s="317"/>
      <c r="G448" s="317"/>
    </row>
    <row r="449" spans="1:7" ht="18">
      <c r="A449" s="317"/>
      <c r="B449" s="317"/>
      <c r="C449" s="317"/>
      <c r="D449" s="317"/>
      <c r="E449" s="317"/>
      <c r="F449" s="317"/>
      <c r="G449" s="317"/>
    </row>
    <row r="450" spans="1:7" ht="18">
      <c r="A450" s="317"/>
      <c r="B450" s="317"/>
      <c r="C450" s="317"/>
      <c r="D450" s="317"/>
      <c r="E450" s="317"/>
      <c r="F450" s="317"/>
      <c r="G450" s="317"/>
    </row>
    <row r="451" spans="1:7" ht="18">
      <c r="A451" s="317"/>
      <c r="B451" s="317"/>
      <c r="C451" s="317"/>
      <c r="D451" s="317"/>
      <c r="E451" s="317"/>
      <c r="F451" s="317"/>
      <c r="G451" s="317"/>
    </row>
    <row r="452" spans="1:7" ht="18">
      <c r="A452" s="317"/>
      <c r="B452" s="317"/>
      <c r="C452" s="317"/>
      <c r="D452" s="317"/>
      <c r="E452" s="317"/>
      <c r="F452" s="317"/>
      <c r="G452" s="317"/>
    </row>
    <row r="453" spans="1:7" ht="18">
      <c r="A453" s="317"/>
      <c r="B453" s="317"/>
      <c r="C453" s="317"/>
      <c r="D453" s="317"/>
      <c r="E453" s="317"/>
      <c r="F453" s="317"/>
      <c r="G453" s="317"/>
    </row>
    <row r="454" spans="1:7" ht="18">
      <c r="A454" s="317"/>
      <c r="B454" s="317"/>
      <c r="C454" s="317"/>
      <c r="D454" s="317"/>
      <c r="E454" s="317"/>
      <c r="F454" s="317"/>
      <c r="G454" s="317"/>
    </row>
    <row r="455" spans="1:7" ht="18">
      <c r="A455" s="317"/>
      <c r="B455" s="317"/>
      <c r="C455" s="317"/>
      <c r="D455" s="317"/>
      <c r="E455" s="317"/>
      <c r="F455" s="317"/>
      <c r="G455" s="317"/>
    </row>
    <row r="456" spans="1:7" ht="18">
      <c r="A456" s="317"/>
      <c r="B456" s="317"/>
      <c r="C456" s="317"/>
      <c r="D456" s="317"/>
      <c r="E456" s="317"/>
      <c r="F456" s="317"/>
      <c r="G456" s="317"/>
    </row>
    <row r="457" spans="1:7" ht="18">
      <c r="A457" s="317"/>
      <c r="B457" s="317"/>
      <c r="C457" s="317"/>
      <c r="D457" s="317"/>
      <c r="E457" s="317"/>
      <c r="F457" s="317"/>
      <c r="G457" s="317"/>
    </row>
    <row r="458" spans="1:7" ht="18">
      <c r="A458" s="317"/>
      <c r="B458" s="317"/>
      <c r="C458" s="317"/>
      <c r="D458" s="317"/>
      <c r="E458" s="317"/>
      <c r="F458" s="317"/>
      <c r="G458" s="317"/>
    </row>
    <row r="459" spans="1:7" ht="18">
      <c r="A459" s="317"/>
      <c r="B459" s="317"/>
      <c r="C459" s="317"/>
      <c r="D459" s="317"/>
      <c r="E459" s="317"/>
      <c r="F459" s="317"/>
      <c r="G459" s="317"/>
    </row>
    <row r="460" spans="1:7" ht="18">
      <c r="A460" s="317"/>
      <c r="B460" s="317"/>
      <c r="C460" s="317"/>
      <c r="D460" s="317"/>
      <c r="E460" s="317"/>
      <c r="F460" s="317"/>
      <c r="G460" s="317"/>
    </row>
    <row r="461" spans="1:7" ht="18">
      <c r="A461" s="317"/>
      <c r="B461" s="317"/>
      <c r="C461" s="317"/>
      <c r="D461" s="317"/>
      <c r="E461" s="317"/>
      <c r="F461" s="317"/>
      <c r="G461" s="317"/>
    </row>
    <row r="462" spans="1:7" ht="18">
      <c r="A462" s="317"/>
      <c r="B462" s="317"/>
      <c r="C462" s="317"/>
      <c r="D462" s="317"/>
      <c r="E462" s="317"/>
      <c r="F462" s="317"/>
      <c r="G462" s="317"/>
    </row>
    <row r="463" spans="1:7" ht="18">
      <c r="A463" s="317"/>
      <c r="B463" s="317"/>
      <c r="C463" s="317"/>
      <c r="D463" s="317"/>
      <c r="E463" s="317"/>
      <c r="F463" s="317"/>
      <c r="G463" s="317"/>
    </row>
    <row r="464" spans="1:7" ht="18">
      <c r="A464" s="317"/>
      <c r="B464" s="317"/>
      <c r="C464" s="317"/>
      <c r="D464" s="317"/>
      <c r="E464" s="317"/>
      <c r="F464" s="317"/>
      <c r="G464" s="317"/>
    </row>
    <row r="465" spans="1:7" ht="18">
      <c r="A465" s="317"/>
      <c r="B465" s="317"/>
      <c r="C465" s="317"/>
      <c r="D465" s="317"/>
      <c r="E465" s="317"/>
      <c r="F465" s="317"/>
      <c r="G465" s="317"/>
    </row>
    <row r="466" spans="1:7" ht="18">
      <c r="A466" s="317"/>
      <c r="B466" s="317"/>
      <c r="C466" s="317"/>
      <c r="D466" s="317"/>
      <c r="E466" s="317"/>
      <c r="F466" s="317"/>
      <c r="G466" s="317"/>
    </row>
    <row r="467" spans="1:7" ht="18">
      <c r="A467" s="317"/>
      <c r="B467" s="317"/>
      <c r="C467" s="317"/>
      <c r="D467" s="317"/>
      <c r="E467" s="317"/>
      <c r="F467" s="317"/>
      <c r="G467" s="317"/>
    </row>
    <row r="468" spans="1:7" ht="18">
      <c r="A468" s="317"/>
      <c r="B468" s="317"/>
      <c r="C468" s="317"/>
      <c r="D468" s="317"/>
      <c r="E468" s="317"/>
      <c r="F468" s="317"/>
      <c r="G468" s="317"/>
    </row>
    <row r="469" spans="1:7" ht="18">
      <c r="A469" s="317"/>
      <c r="B469" s="317"/>
      <c r="C469" s="317"/>
      <c r="D469" s="317"/>
      <c r="E469" s="317"/>
      <c r="F469" s="317"/>
      <c r="G469" s="317"/>
    </row>
    <row r="470" spans="1:7" ht="18">
      <c r="A470" s="317"/>
      <c r="B470" s="317"/>
      <c r="C470" s="317"/>
      <c r="D470" s="317"/>
      <c r="E470" s="317"/>
      <c r="F470" s="317"/>
      <c r="G470" s="317"/>
    </row>
    <row r="471" spans="1:7" ht="18">
      <c r="A471" s="317"/>
      <c r="B471" s="317"/>
      <c r="C471" s="317"/>
      <c r="D471" s="317"/>
      <c r="E471" s="317"/>
      <c r="F471" s="317"/>
      <c r="G471" s="317"/>
    </row>
    <row r="472" spans="1:7" ht="18">
      <c r="A472" s="317"/>
      <c r="B472" s="317"/>
      <c r="C472" s="317"/>
      <c r="D472" s="317"/>
      <c r="E472" s="317"/>
      <c r="F472" s="317"/>
      <c r="G472" s="317"/>
    </row>
    <row r="473" spans="1:7" ht="18">
      <c r="A473" s="317"/>
      <c r="B473" s="317"/>
      <c r="C473" s="317"/>
      <c r="D473" s="317"/>
      <c r="E473" s="317"/>
      <c r="F473" s="317"/>
      <c r="G473" s="317"/>
    </row>
    <row r="474" spans="1:7" ht="18">
      <c r="A474" s="317"/>
      <c r="B474" s="317"/>
      <c r="C474" s="317"/>
      <c r="D474" s="317"/>
      <c r="E474" s="317"/>
      <c r="F474" s="317"/>
      <c r="G474" s="317"/>
    </row>
    <row r="475" spans="1:7" ht="18">
      <c r="A475" s="317"/>
      <c r="B475" s="317"/>
      <c r="C475" s="317"/>
      <c r="D475" s="317"/>
      <c r="E475" s="317"/>
      <c r="F475" s="317"/>
      <c r="G475" s="317"/>
    </row>
    <row r="476" spans="1:7" ht="18">
      <c r="A476" s="317"/>
      <c r="B476" s="317"/>
      <c r="C476" s="317"/>
      <c r="D476" s="317"/>
      <c r="E476" s="317"/>
      <c r="F476" s="317"/>
      <c r="G476" s="317"/>
    </row>
    <row r="477" spans="1:7" ht="18">
      <c r="A477" s="317"/>
      <c r="B477" s="317"/>
      <c r="C477" s="317"/>
      <c r="D477" s="317"/>
      <c r="E477" s="317"/>
      <c r="F477" s="317"/>
      <c r="G477" s="317"/>
    </row>
    <row r="478" spans="1:7" ht="18">
      <c r="A478" s="317"/>
      <c r="B478" s="317"/>
      <c r="C478" s="317"/>
      <c r="D478" s="317"/>
      <c r="E478" s="317"/>
      <c r="F478" s="317"/>
      <c r="G478" s="317"/>
    </row>
    <row r="479" spans="1:7" ht="18">
      <c r="A479" s="317"/>
      <c r="B479" s="317"/>
      <c r="C479" s="317"/>
      <c r="D479" s="317"/>
      <c r="E479" s="317"/>
      <c r="F479" s="317"/>
      <c r="G479" s="317"/>
    </row>
    <row r="480" spans="1:7" ht="18">
      <c r="A480" s="317"/>
      <c r="B480" s="317"/>
      <c r="C480" s="317"/>
      <c r="D480" s="317"/>
      <c r="E480" s="317"/>
      <c r="F480" s="317"/>
      <c r="G480" s="317"/>
    </row>
    <row r="481" spans="1:7" ht="18">
      <c r="A481" s="317"/>
      <c r="B481" s="317"/>
      <c r="C481" s="317"/>
      <c r="D481" s="317"/>
      <c r="E481" s="317"/>
      <c r="F481" s="317"/>
      <c r="G481" s="317"/>
    </row>
    <row r="482" spans="1:7" ht="18">
      <c r="A482" s="317"/>
      <c r="B482" s="317"/>
      <c r="C482" s="317"/>
      <c r="D482" s="317"/>
      <c r="E482" s="317"/>
      <c r="F482" s="317"/>
      <c r="G482" s="317"/>
    </row>
    <row r="483" spans="1:7" ht="18">
      <c r="A483" s="317"/>
      <c r="B483" s="317"/>
      <c r="C483" s="317"/>
      <c r="D483" s="317"/>
      <c r="E483" s="317"/>
      <c r="F483" s="317"/>
      <c r="G483" s="317"/>
    </row>
    <row r="484" spans="1:7" ht="18">
      <c r="A484" s="317"/>
      <c r="B484" s="317"/>
      <c r="C484" s="317"/>
      <c r="D484" s="317"/>
      <c r="E484" s="317"/>
      <c r="F484" s="317"/>
      <c r="G484" s="317"/>
    </row>
    <row r="485" spans="1:7" ht="18">
      <c r="A485" s="317"/>
      <c r="B485" s="317"/>
      <c r="C485" s="317"/>
      <c r="D485" s="317"/>
      <c r="E485" s="317"/>
      <c r="F485" s="317"/>
      <c r="G485" s="317"/>
    </row>
    <row r="486" spans="1:7" ht="18">
      <c r="A486" s="317"/>
      <c r="B486" s="317"/>
      <c r="C486" s="317"/>
      <c r="D486" s="317"/>
      <c r="E486" s="317"/>
      <c r="F486" s="317"/>
      <c r="G486" s="317"/>
    </row>
    <row r="487" spans="1:7" ht="18">
      <c r="A487" s="317"/>
      <c r="B487" s="317"/>
      <c r="C487" s="317"/>
      <c r="D487" s="317"/>
      <c r="E487" s="317"/>
      <c r="F487" s="317"/>
      <c r="G487" s="317"/>
    </row>
    <row r="488" spans="1:7" ht="18">
      <c r="A488" s="317"/>
      <c r="B488" s="317"/>
      <c r="C488" s="317"/>
      <c r="D488" s="317"/>
      <c r="E488" s="317"/>
      <c r="F488" s="317"/>
      <c r="G488" s="317"/>
    </row>
    <row r="489" spans="1:7" ht="18">
      <c r="A489" s="317"/>
      <c r="B489" s="317"/>
      <c r="C489" s="317"/>
      <c r="D489" s="317"/>
      <c r="E489" s="317"/>
      <c r="F489" s="317"/>
      <c r="G489" s="317"/>
    </row>
    <row r="490" spans="1:7" ht="18">
      <c r="A490" s="317"/>
      <c r="B490" s="317"/>
      <c r="C490" s="317"/>
      <c r="D490" s="317"/>
      <c r="E490" s="317"/>
      <c r="F490" s="317"/>
      <c r="G490" s="317"/>
    </row>
    <row r="491" spans="1:7" ht="18">
      <c r="A491" s="317"/>
      <c r="B491" s="317"/>
      <c r="C491" s="317"/>
      <c r="D491" s="317"/>
      <c r="E491" s="317"/>
      <c r="F491" s="317"/>
      <c r="G491" s="317"/>
    </row>
    <row r="492" spans="1:7" ht="18">
      <c r="A492" s="317"/>
      <c r="B492" s="317"/>
      <c r="C492" s="317"/>
      <c r="D492" s="317"/>
      <c r="E492" s="317"/>
      <c r="F492" s="317"/>
      <c r="G492" s="317"/>
    </row>
    <row r="493" spans="1:7" ht="18">
      <c r="A493" s="317"/>
      <c r="B493" s="317"/>
      <c r="C493" s="317"/>
      <c r="D493" s="317"/>
      <c r="E493" s="317"/>
      <c r="F493" s="317"/>
      <c r="G493" s="317"/>
    </row>
    <row r="494" spans="1:7" ht="18">
      <c r="A494" s="317"/>
      <c r="B494" s="317"/>
      <c r="C494" s="317"/>
      <c r="D494" s="317"/>
      <c r="E494" s="317"/>
      <c r="F494" s="317"/>
      <c r="G494" s="317"/>
    </row>
    <row r="495" spans="1:7" ht="18">
      <c r="A495" s="317"/>
      <c r="B495" s="317"/>
      <c r="C495" s="317"/>
      <c r="D495" s="317"/>
      <c r="E495" s="317"/>
      <c r="F495" s="317"/>
      <c r="G495" s="317"/>
    </row>
    <row r="496" spans="1:7" ht="18">
      <c r="A496" s="317"/>
      <c r="B496" s="317"/>
      <c r="C496" s="317"/>
      <c r="D496" s="317"/>
      <c r="E496" s="317"/>
      <c r="F496" s="317"/>
      <c r="G496" s="317"/>
    </row>
    <row r="497" spans="1:7" ht="18">
      <c r="A497" s="317"/>
      <c r="B497" s="317"/>
      <c r="C497" s="317"/>
      <c r="D497" s="317"/>
      <c r="E497" s="317"/>
      <c r="F497" s="317"/>
      <c r="G497" s="317"/>
    </row>
    <row r="498" spans="1:7" ht="18">
      <c r="A498" s="317"/>
      <c r="B498" s="317"/>
      <c r="C498" s="317"/>
      <c r="D498" s="317"/>
      <c r="E498" s="317"/>
      <c r="F498" s="317"/>
      <c r="G498" s="317"/>
    </row>
    <row r="499" spans="1:7" ht="18">
      <c r="A499" s="317"/>
      <c r="B499" s="317"/>
      <c r="C499" s="317"/>
      <c r="D499" s="317"/>
      <c r="E499" s="317"/>
      <c r="F499" s="317"/>
      <c r="G499" s="317"/>
    </row>
    <row r="500" spans="1:7" ht="18">
      <c r="A500" s="317"/>
      <c r="B500" s="317"/>
      <c r="C500" s="317"/>
      <c r="D500" s="317"/>
      <c r="E500" s="317"/>
      <c r="F500" s="317"/>
      <c r="G500" s="317"/>
    </row>
    <row r="501" spans="1:7" ht="18">
      <c r="A501" s="317"/>
      <c r="B501" s="317"/>
      <c r="C501" s="317"/>
      <c r="D501" s="317"/>
      <c r="E501" s="317"/>
      <c r="F501" s="317"/>
      <c r="G501" s="317"/>
    </row>
    <row r="502" spans="1:7" ht="18">
      <c r="A502" s="317"/>
      <c r="B502" s="317"/>
      <c r="C502" s="317"/>
      <c r="D502" s="317"/>
      <c r="E502" s="317"/>
      <c r="F502" s="317"/>
      <c r="G502" s="317"/>
    </row>
    <row r="503" spans="1:7" ht="18">
      <c r="A503" s="317"/>
      <c r="B503" s="317"/>
      <c r="C503" s="317"/>
      <c r="D503" s="317"/>
      <c r="E503" s="317"/>
      <c r="F503" s="317"/>
      <c r="G503" s="317"/>
    </row>
    <row r="504" spans="1:7" ht="18">
      <c r="A504" s="317"/>
      <c r="B504" s="317"/>
      <c r="C504" s="317"/>
      <c r="D504" s="317"/>
      <c r="E504" s="317"/>
      <c r="F504" s="317"/>
      <c r="G504" s="317"/>
    </row>
    <row r="505" spans="1:7" ht="18">
      <c r="A505" s="317"/>
      <c r="B505" s="317"/>
      <c r="C505" s="317"/>
      <c r="D505" s="317"/>
      <c r="E505" s="317"/>
      <c r="F505" s="317"/>
      <c r="G505" s="317"/>
    </row>
    <row r="506" spans="1:7" ht="18">
      <c r="A506" s="317"/>
      <c r="B506" s="317"/>
      <c r="C506" s="317"/>
      <c r="D506" s="317"/>
      <c r="E506" s="317"/>
      <c r="F506" s="317"/>
      <c r="G506" s="317"/>
    </row>
    <row r="507" spans="1:7" ht="18">
      <c r="A507" s="317"/>
      <c r="B507" s="317"/>
      <c r="C507" s="317"/>
      <c r="D507" s="317"/>
      <c r="E507" s="317"/>
      <c r="F507" s="317"/>
      <c r="G507" s="317"/>
    </row>
    <row r="508" spans="1:7" ht="18">
      <c r="A508" s="317"/>
      <c r="B508" s="317"/>
      <c r="C508" s="317"/>
      <c r="D508" s="317"/>
      <c r="E508" s="317"/>
      <c r="F508" s="317"/>
      <c r="G508" s="317"/>
    </row>
    <row r="509" spans="1:7" ht="18">
      <c r="A509" s="317"/>
      <c r="B509" s="317"/>
      <c r="C509" s="317"/>
      <c r="D509" s="317"/>
      <c r="E509" s="317"/>
      <c r="F509" s="317"/>
      <c r="G509" s="317"/>
    </row>
    <row r="510" spans="1:7" ht="18">
      <c r="A510" s="317"/>
      <c r="B510" s="317"/>
      <c r="C510" s="317"/>
      <c r="D510" s="317"/>
      <c r="E510" s="317"/>
      <c r="F510" s="317"/>
      <c r="G510" s="317"/>
    </row>
    <row r="511" spans="1:7" ht="18">
      <c r="A511" s="317"/>
      <c r="B511" s="317"/>
      <c r="C511" s="317"/>
      <c r="D511" s="317"/>
      <c r="E511" s="317"/>
      <c r="F511" s="317"/>
      <c r="G511" s="317"/>
    </row>
    <row r="512" spans="1:7" ht="18">
      <c r="A512" s="317"/>
      <c r="B512" s="317"/>
      <c r="C512" s="317"/>
      <c r="D512" s="317"/>
      <c r="E512" s="317"/>
      <c r="F512" s="317"/>
      <c r="G512" s="317"/>
    </row>
    <row r="513" spans="1:7" ht="18">
      <c r="A513" s="317"/>
      <c r="B513" s="317"/>
      <c r="C513" s="317"/>
      <c r="D513" s="317"/>
      <c r="E513" s="317"/>
      <c r="F513" s="317"/>
      <c r="G513" s="317"/>
    </row>
    <row r="514" spans="1:7" ht="18">
      <c r="A514" s="317"/>
      <c r="B514" s="317"/>
      <c r="C514" s="317"/>
      <c r="D514" s="317"/>
      <c r="E514" s="317"/>
      <c r="F514" s="317"/>
      <c r="G514" s="317"/>
    </row>
    <row r="515" spans="1:7" ht="18">
      <c r="A515" s="317"/>
      <c r="B515" s="317"/>
      <c r="C515" s="317"/>
      <c r="D515" s="317"/>
      <c r="E515" s="317"/>
      <c r="F515" s="317"/>
      <c r="G515" s="317"/>
    </row>
    <row r="516" spans="1:7" ht="18">
      <c r="A516" s="317"/>
      <c r="B516" s="317"/>
      <c r="C516" s="317"/>
      <c r="D516" s="317"/>
      <c r="E516" s="317"/>
      <c r="F516" s="317"/>
      <c r="G516" s="317"/>
    </row>
    <row r="517" spans="1:7" ht="18">
      <c r="A517" s="317"/>
      <c r="B517" s="317"/>
      <c r="C517" s="317"/>
      <c r="D517" s="317"/>
      <c r="E517" s="317"/>
      <c r="F517" s="317"/>
      <c r="G517" s="317"/>
    </row>
    <row r="518" spans="1:7" ht="18">
      <c r="A518" s="317"/>
      <c r="B518" s="317"/>
      <c r="C518" s="317"/>
      <c r="D518" s="317"/>
      <c r="E518" s="317"/>
      <c r="F518" s="317"/>
      <c r="G518" s="317"/>
    </row>
    <row r="519" spans="1:7" ht="18">
      <c r="A519" s="317"/>
      <c r="B519" s="317"/>
      <c r="C519" s="317"/>
      <c r="D519" s="317"/>
      <c r="E519" s="317"/>
      <c r="F519" s="317"/>
      <c r="G519" s="317"/>
    </row>
    <row r="520" spans="1:7" ht="18">
      <c r="A520" s="317"/>
      <c r="B520" s="317"/>
      <c r="C520" s="317"/>
      <c r="D520" s="317"/>
      <c r="E520" s="317"/>
      <c r="F520" s="317"/>
      <c r="G520" s="317"/>
    </row>
    <row r="521" spans="1:7" ht="18">
      <c r="A521" s="317"/>
      <c r="B521" s="317"/>
      <c r="C521" s="317"/>
      <c r="D521" s="317"/>
      <c r="E521" s="317"/>
      <c r="F521" s="317"/>
      <c r="G521" s="317"/>
    </row>
    <row r="522" spans="1:7" ht="18">
      <c r="A522" s="317"/>
      <c r="B522" s="317"/>
      <c r="C522" s="317"/>
      <c r="D522" s="317"/>
      <c r="E522" s="317"/>
      <c r="F522" s="317"/>
      <c r="G522" s="317"/>
    </row>
    <row r="523" spans="1:7" ht="18">
      <c r="A523" s="317"/>
      <c r="B523" s="317"/>
      <c r="C523" s="317"/>
      <c r="D523" s="317"/>
      <c r="E523" s="317"/>
      <c r="F523" s="317"/>
      <c r="G523" s="317"/>
    </row>
    <row r="524" spans="1:7" ht="18">
      <c r="A524" s="317"/>
      <c r="B524" s="317"/>
      <c r="C524" s="317"/>
      <c r="D524" s="317"/>
      <c r="E524" s="317"/>
      <c r="F524" s="317"/>
      <c r="G524" s="317"/>
    </row>
    <row r="525" spans="1:7" ht="18">
      <c r="A525" s="317"/>
      <c r="B525" s="317"/>
      <c r="C525" s="317"/>
      <c r="D525" s="317"/>
      <c r="E525" s="317"/>
      <c r="F525" s="317"/>
      <c r="G525" s="317"/>
    </row>
    <row r="526" spans="1:7" ht="18">
      <c r="A526" s="317"/>
      <c r="B526" s="317"/>
      <c r="C526" s="317"/>
      <c r="D526" s="317"/>
      <c r="E526" s="317"/>
      <c r="F526" s="317"/>
      <c r="G526" s="317"/>
    </row>
    <row r="527" spans="1:7" ht="18">
      <c r="A527" s="317"/>
      <c r="B527" s="317"/>
      <c r="C527" s="317"/>
      <c r="D527" s="317"/>
      <c r="E527" s="317"/>
      <c r="F527" s="317"/>
      <c r="G527" s="317"/>
    </row>
    <row r="528" spans="1:7" ht="18">
      <c r="A528" s="317"/>
      <c r="B528" s="317"/>
      <c r="C528" s="317"/>
      <c r="D528" s="317"/>
      <c r="E528" s="317"/>
      <c r="F528" s="317"/>
      <c r="G528" s="317"/>
    </row>
    <row r="529" spans="1:7" ht="18">
      <c r="A529" s="317"/>
      <c r="B529" s="317"/>
      <c r="C529" s="317"/>
      <c r="D529" s="317"/>
      <c r="E529" s="317"/>
      <c r="F529" s="317"/>
      <c r="G529" s="317"/>
    </row>
    <row r="530" spans="1:7" ht="18">
      <c r="A530" s="317"/>
      <c r="B530" s="317"/>
      <c r="C530" s="317"/>
      <c r="D530" s="317"/>
      <c r="E530" s="317"/>
      <c r="F530" s="317"/>
      <c r="G530" s="317"/>
    </row>
    <row r="531" spans="1:7" ht="18">
      <c r="A531" s="317"/>
      <c r="B531" s="317"/>
      <c r="C531" s="317"/>
      <c r="D531" s="317"/>
      <c r="E531" s="317"/>
      <c r="F531" s="317"/>
      <c r="G531" s="317"/>
    </row>
    <row r="532" spans="1:7" ht="18">
      <c r="A532" s="317"/>
      <c r="B532" s="317"/>
      <c r="C532" s="317"/>
      <c r="D532" s="317"/>
      <c r="E532" s="317"/>
      <c r="F532" s="317"/>
      <c r="G532" s="317"/>
    </row>
    <row r="533" spans="1:7" ht="18">
      <c r="A533" s="317"/>
      <c r="B533" s="317"/>
      <c r="C533" s="317"/>
      <c r="D533" s="317"/>
      <c r="E533" s="317"/>
      <c r="F533" s="317"/>
      <c r="G533" s="317"/>
    </row>
    <row r="534" spans="1:7" ht="18">
      <c r="A534" s="317"/>
      <c r="B534" s="317"/>
      <c r="C534" s="317"/>
      <c r="D534" s="317"/>
      <c r="E534" s="317"/>
      <c r="F534" s="317"/>
      <c r="G534" s="317"/>
    </row>
    <row r="535" spans="1:7" ht="18">
      <c r="A535" s="317"/>
      <c r="B535" s="317"/>
      <c r="C535" s="317"/>
      <c r="D535" s="317"/>
      <c r="E535" s="317"/>
      <c r="F535" s="317"/>
      <c r="G535" s="317"/>
    </row>
    <row r="536" spans="1:7" ht="18">
      <c r="A536" s="317"/>
      <c r="B536" s="317"/>
      <c r="C536" s="317"/>
      <c r="D536" s="317"/>
      <c r="E536" s="317"/>
      <c r="F536" s="317"/>
      <c r="G536" s="317"/>
    </row>
    <row r="537" spans="1:7" ht="18">
      <c r="A537" s="317"/>
      <c r="B537" s="317"/>
      <c r="C537" s="317"/>
      <c r="D537" s="317"/>
      <c r="E537" s="317"/>
      <c r="F537" s="317"/>
      <c r="G537" s="317"/>
    </row>
    <row r="538" spans="1:7" ht="18">
      <c r="A538" s="317"/>
      <c r="B538" s="317"/>
      <c r="C538" s="317"/>
      <c r="D538" s="317"/>
      <c r="E538" s="317"/>
      <c r="F538" s="317"/>
      <c r="G538" s="317"/>
    </row>
    <row r="539" spans="1:7" ht="18">
      <c r="A539" s="317"/>
      <c r="B539" s="317"/>
      <c r="C539" s="317"/>
      <c r="D539" s="317"/>
      <c r="E539" s="317"/>
      <c r="F539" s="317"/>
      <c r="G539" s="317"/>
    </row>
    <row r="540" spans="1:7" ht="18">
      <c r="A540" s="317"/>
      <c r="B540" s="317"/>
      <c r="C540" s="317"/>
      <c r="D540" s="317"/>
      <c r="E540" s="317"/>
      <c r="F540" s="317"/>
      <c r="G540" s="317"/>
    </row>
    <row r="541" spans="1:7" ht="18">
      <c r="A541" s="317"/>
      <c r="B541" s="317"/>
      <c r="C541" s="317"/>
      <c r="D541" s="317"/>
      <c r="E541" s="317"/>
      <c r="F541" s="317"/>
      <c r="G541" s="317"/>
    </row>
    <row r="542" spans="1:7" ht="18">
      <c r="A542" s="317"/>
      <c r="B542" s="317"/>
      <c r="C542" s="317"/>
      <c r="D542" s="317"/>
      <c r="E542" s="317"/>
      <c r="F542" s="317"/>
      <c r="G542" s="317"/>
    </row>
    <row r="543" spans="1:7" ht="18">
      <c r="A543" s="317"/>
      <c r="B543" s="317"/>
      <c r="C543" s="317"/>
      <c r="D543" s="317"/>
      <c r="E543" s="317"/>
      <c r="F543" s="317"/>
      <c r="G543" s="317"/>
    </row>
    <row r="544" spans="1:7" ht="18">
      <c r="A544" s="317"/>
      <c r="B544" s="317"/>
      <c r="C544" s="317"/>
      <c r="D544" s="317"/>
      <c r="E544" s="317"/>
      <c r="F544" s="317"/>
      <c r="G544" s="317"/>
    </row>
    <row r="545" spans="1:7" ht="18">
      <c r="A545" s="317"/>
      <c r="B545" s="317"/>
      <c r="C545" s="317"/>
      <c r="D545" s="317"/>
      <c r="E545" s="317"/>
      <c r="F545" s="317"/>
      <c r="G545" s="317"/>
    </row>
    <row r="546" spans="1:7" ht="18">
      <c r="A546" s="317"/>
      <c r="B546" s="317"/>
      <c r="C546" s="317"/>
      <c r="D546" s="317"/>
      <c r="E546" s="317"/>
      <c r="F546" s="317"/>
      <c r="G546" s="317"/>
    </row>
    <row r="547" spans="1:7" ht="18">
      <c r="A547" s="317"/>
      <c r="B547" s="317"/>
      <c r="C547" s="317"/>
      <c r="D547" s="317"/>
      <c r="E547" s="317"/>
      <c r="F547" s="317"/>
      <c r="G547" s="317"/>
    </row>
    <row r="548" spans="1:7" ht="18">
      <c r="A548" s="317"/>
      <c r="B548" s="317"/>
      <c r="C548" s="317"/>
      <c r="D548" s="317"/>
      <c r="E548" s="317"/>
      <c r="F548" s="317"/>
      <c r="G548" s="317"/>
    </row>
    <row r="549" spans="1:7" ht="18">
      <c r="A549" s="317"/>
      <c r="B549" s="317"/>
      <c r="C549" s="317"/>
      <c r="D549" s="317"/>
      <c r="E549" s="317"/>
      <c r="F549" s="317"/>
      <c r="G549" s="317"/>
    </row>
    <row r="550" spans="1:7" ht="18">
      <c r="A550" s="317"/>
      <c r="B550" s="317"/>
      <c r="C550" s="317"/>
      <c r="D550" s="317"/>
      <c r="E550" s="317"/>
      <c r="F550" s="317"/>
      <c r="G550" s="317"/>
    </row>
    <row r="551" spans="1:7" ht="18">
      <c r="A551" s="317"/>
      <c r="B551" s="317"/>
      <c r="C551" s="317"/>
      <c r="D551" s="317"/>
      <c r="E551" s="317"/>
      <c r="F551" s="317"/>
      <c r="G551" s="317"/>
    </row>
    <row r="552" spans="1:7" ht="18">
      <c r="A552" s="317"/>
      <c r="B552" s="317"/>
      <c r="C552" s="317"/>
      <c r="D552" s="317"/>
      <c r="E552" s="317"/>
      <c r="F552" s="317"/>
      <c r="G552" s="317"/>
    </row>
    <row r="553" spans="1:7" ht="18">
      <c r="A553" s="317"/>
      <c r="B553" s="317"/>
      <c r="C553" s="317"/>
      <c r="D553" s="317"/>
      <c r="E553" s="317"/>
      <c r="F553" s="317"/>
      <c r="G553" s="317"/>
    </row>
    <row r="554" spans="1:7" ht="18">
      <c r="A554" s="317"/>
      <c r="B554" s="317"/>
      <c r="C554" s="317"/>
      <c r="D554" s="317"/>
      <c r="E554" s="317"/>
      <c r="F554" s="317"/>
      <c r="G554" s="317"/>
    </row>
    <row r="555" spans="1:7" ht="18">
      <c r="A555" s="317"/>
      <c r="B555" s="317"/>
      <c r="C555" s="317"/>
      <c r="D555" s="317"/>
      <c r="E555" s="317"/>
      <c r="F555" s="317"/>
      <c r="G555" s="317"/>
    </row>
    <row r="556" spans="1:7" ht="18">
      <c r="A556" s="317"/>
      <c r="B556" s="317"/>
      <c r="C556" s="317"/>
      <c r="D556" s="317"/>
      <c r="E556" s="317"/>
      <c r="F556" s="317"/>
      <c r="G556" s="317"/>
    </row>
    <row r="557" spans="1:7" ht="18">
      <c r="A557" s="317"/>
      <c r="B557" s="317"/>
      <c r="C557" s="317"/>
      <c r="D557" s="317"/>
      <c r="E557" s="317"/>
      <c r="F557" s="317"/>
      <c r="G557" s="317"/>
    </row>
    <row r="558" spans="1:7" ht="18">
      <c r="A558" s="317"/>
      <c r="B558" s="317"/>
      <c r="C558" s="317"/>
      <c r="D558" s="317"/>
      <c r="E558" s="317"/>
      <c r="F558" s="317"/>
      <c r="G558" s="317"/>
    </row>
    <row r="559" spans="1:7" ht="18">
      <c r="A559" s="317"/>
      <c r="B559" s="317"/>
      <c r="C559" s="317"/>
      <c r="D559" s="317"/>
      <c r="E559" s="317"/>
      <c r="F559" s="317"/>
      <c r="G559" s="317"/>
    </row>
    <row r="560" spans="1:7" ht="18">
      <c r="A560" s="317"/>
      <c r="B560" s="317"/>
      <c r="C560" s="317"/>
      <c r="D560" s="317"/>
      <c r="E560" s="317"/>
      <c r="F560" s="317"/>
      <c r="G560" s="317"/>
    </row>
    <row r="561" spans="1:7" ht="18">
      <c r="A561" s="317"/>
      <c r="B561" s="317"/>
      <c r="C561" s="317"/>
      <c r="D561" s="317"/>
      <c r="E561" s="317"/>
      <c r="F561" s="317"/>
      <c r="G561" s="317"/>
    </row>
    <row r="562" spans="1:7" ht="18">
      <c r="A562" s="317"/>
      <c r="B562" s="317"/>
      <c r="C562" s="317"/>
      <c r="D562" s="317"/>
      <c r="E562" s="317"/>
      <c r="F562" s="317"/>
      <c r="G562" s="317"/>
    </row>
    <row r="563" spans="1:7" ht="18">
      <c r="A563" s="317"/>
      <c r="B563" s="317"/>
      <c r="C563" s="317"/>
      <c r="D563" s="317"/>
      <c r="E563" s="317"/>
      <c r="F563" s="317"/>
      <c r="G563" s="317"/>
    </row>
    <row r="564" spans="1:7" ht="18">
      <c r="A564" s="317"/>
      <c r="B564" s="317"/>
      <c r="C564" s="317"/>
      <c r="D564" s="317"/>
      <c r="E564" s="317"/>
      <c r="F564" s="317"/>
      <c r="G564" s="317"/>
    </row>
    <row r="565" spans="1:7" ht="18">
      <c r="A565" s="317"/>
      <c r="B565" s="317"/>
      <c r="C565" s="317"/>
      <c r="D565" s="317"/>
      <c r="E565" s="317"/>
      <c r="F565" s="317"/>
      <c r="G565" s="317"/>
    </row>
    <row r="566" spans="1:7" ht="18">
      <c r="A566" s="317"/>
      <c r="B566" s="317"/>
      <c r="C566" s="317"/>
      <c r="D566" s="317"/>
      <c r="E566" s="317"/>
      <c r="F566" s="317"/>
      <c r="G566" s="317"/>
    </row>
    <row r="567" spans="1:7" ht="18">
      <c r="A567" s="317"/>
      <c r="B567" s="317"/>
      <c r="C567" s="317"/>
      <c r="D567" s="317"/>
      <c r="E567" s="317"/>
      <c r="F567" s="317"/>
      <c r="G567" s="317"/>
    </row>
    <row r="568" spans="1:7" ht="18">
      <c r="A568" s="317"/>
      <c r="B568" s="317"/>
      <c r="C568" s="317"/>
      <c r="D568" s="317"/>
      <c r="E568" s="317"/>
      <c r="F568" s="317"/>
      <c r="G568" s="317"/>
    </row>
    <row r="569" spans="1:7" ht="18">
      <c r="A569" s="317"/>
      <c r="B569" s="317"/>
      <c r="C569" s="317"/>
      <c r="D569" s="317"/>
      <c r="E569" s="317"/>
      <c r="F569" s="317"/>
      <c r="G569" s="317"/>
    </row>
    <row r="570" spans="1:7" ht="18">
      <c r="A570" s="317"/>
      <c r="B570" s="317"/>
      <c r="C570" s="317"/>
      <c r="D570" s="317"/>
      <c r="E570" s="317"/>
      <c r="F570" s="317"/>
      <c r="G570" s="317"/>
    </row>
    <row r="571" spans="1:7" ht="18">
      <c r="A571" s="317"/>
      <c r="B571" s="317"/>
      <c r="C571" s="317"/>
      <c r="D571" s="317"/>
      <c r="E571" s="317"/>
      <c r="F571" s="317"/>
      <c r="G571" s="317"/>
    </row>
    <row r="572" spans="1:7" ht="18">
      <c r="A572" s="317"/>
      <c r="B572" s="317"/>
      <c r="C572" s="317"/>
      <c r="D572" s="317"/>
      <c r="E572" s="317"/>
      <c r="F572" s="317"/>
      <c r="G572" s="317"/>
    </row>
    <row r="573" spans="1:7" ht="18">
      <c r="A573" s="317"/>
      <c r="B573" s="317"/>
      <c r="C573" s="317"/>
      <c r="D573" s="317"/>
      <c r="E573" s="317"/>
      <c r="F573" s="317"/>
      <c r="G573" s="317"/>
    </row>
    <row r="574" spans="1:7" ht="18">
      <c r="A574" s="317"/>
      <c r="B574" s="317"/>
      <c r="C574" s="317"/>
      <c r="D574" s="317"/>
      <c r="E574" s="317"/>
      <c r="F574" s="317"/>
      <c r="G574" s="317"/>
    </row>
    <row r="575" spans="1:7" ht="18">
      <c r="A575" s="317"/>
      <c r="B575" s="317"/>
      <c r="C575" s="317"/>
      <c r="D575" s="317"/>
      <c r="E575" s="317"/>
      <c r="F575" s="317"/>
      <c r="G575" s="317"/>
    </row>
    <row r="576" spans="1:7" ht="18">
      <c r="A576" s="317"/>
      <c r="B576" s="317"/>
      <c r="C576" s="317"/>
      <c r="D576" s="317"/>
      <c r="E576" s="317"/>
      <c r="F576" s="317"/>
      <c r="G576" s="317"/>
    </row>
    <row r="577" spans="1:7" ht="18">
      <c r="A577" s="317"/>
      <c r="B577" s="317"/>
      <c r="C577" s="317"/>
      <c r="D577" s="317"/>
      <c r="E577" s="317"/>
      <c r="F577" s="317"/>
      <c r="G577" s="317"/>
    </row>
    <row r="578" spans="1:7" ht="18">
      <c r="A578" s="317"/>
      <c r="B578" s="317"/>
      <c r="C578" s="317"/>
      <c r="D578" s="317"/>
      <c r="E578" s="317"/>
      <c r="F578" s="317"/>
      <c r="G578" s="317"/>
    </row>
    <row r="579" spans="1:7" ht="18">
      <c r="A579" s="317"/>
      <c r="B579" s="317"/>
      <c r="C579" s="317"/>
      <c r="D579" s="317"/>
      <c r="E579" s="317"/>
      <c r="F579" s="317"/>
      <c r="G579" s="317"/>
    </row>
    <row r="580" spans="1:7" ht="18">
      <c r="A580" s="317"/>
      <c r="B580" s="317"/>
      <c r="C580" s="317"/>
      <c r="D580" s="317"/>
      <c r="E580" s="317"/>
      <c r="F580" s="317"/>
      <c r="G580" s="317"/>
    </row>
    <row r="581" spans="1:7" ht="18">
      <c r="A581" s="317"/>
      <c r="B581" s="317"/>
      <c r="C581" s="317"/>
      <c r="D581" s="317"/>
      <c r="E581" s="317"/>
      <c r="F581" s="317"/>
      <c r="G581" s="317"/>
    </row>
    <row r="582" spans="1:7" ht="18">
      <c r="A582" s="317"/>
      <c r="B582" s="317"/>
      <c r="C582" s="317"/>
      <c r="D582" s="317"/>
      <c r="E582" s="317"/>
      <c r="F582" s="317"/>
      <c r="G582" s="317"/>
    </row>
    <row r="583" spans="1:7" ht="18">
      <c r="A583" s="317"/>
      <c r="B583" s="317"/>
      <c r="C583" s="317"/>
      <c r="D583" s="317"/>
      <c r="E583" s="317"/>
      <c r="F583" s="317"/>
      <c r="G583" s="317"/>
    </row>
    <row r="584" spans="1:7" ht="18">
      <c r="A584" s="317"/>
      <c r="B584" s="317"/>
      <c r="C584" s="317"/>
      <c r="D584" s="317"/>
      <c r="E584" s="317"/>
      <c r="F584" s="317"/>
      <c r="G584" s="317"/>
    </row>
    <row r="585" spans="1:7" ht="18">
      <c r="A585" s="317"/>
      <c r="B585" s="317"/>
      <c r="C585" s="317"/>
      <c r="D585" s="317"/>
      <c r="E585" s="317"/>
      <c r="F585" s="317"/>
      <c r="G585" s="317"/>
    </row>
    <row r="586" spans="1:7" ht="18">
      <c r="A586" s="317"/>
      <c r="B586" s="317"/>
      <c r="C586" s="317"/>
      <c r="D586" s="317"/>
      <c r="E586" s="317"/>
      <c r="F586" s="317"/>
      <c r="G586" s="317"/>
    </row>
    <row r="587" spans="1:7" ht="18">
      <c r="A587" s="317"/>
      <c r="B587" s="317"/>
      <c r="C587" s="317"/>
      <c r="D587" s="317"/>
      <c r="E587" s="317"/>
      <c r="F587" s="317"/>
      <c r="G587" s="317"/>
    </row>
    <row r="588" spans="1:7" ht="18">
      <c r="A588" s="317"/>
      <c r="B588" s="317"/>
      <c r="C588" s="317"/>
      <c r="D588" s="317"/>
      <c r="E588" s="317"/>
      <c r="F588" s="317"/>
      <c r="G588" s="317"/>
    </row>
    <row r="589" spans="1:7" ht="18">
      <c r="A589" s="317"/>
      <c r="B589" s="317"/>
      <c r="C589" s="317"/>
      <c r="D589" s="317"/>
      <c r="E589" s="317"/>
      <c r="F589" s="317"/>
      <c r="G589" s="317"/>
    </row>
    <row r="590" spans="1:7" ht="18">
      <c r="A590" s="317"/>
      <c r="B590" s="317"/>
      <c r="C590" s="317"/>
      <c r="D590" s="317"/>
      <c r="E590" s="317"/>
      <c r="F590" s="317"/>
      <c r="G590" s="317"/>
    </row>
    <row r="591" spans="1:7" ht="18">
      <c r="A591" s="317"/>
      <c r="B591" s="317"/>
      <c r="C591" s="317"/>
      <c r="D591" s="317"/>
      <c r="E591" s="317"/>
      <c r="F591" s="317"/>
      <c r="G591" s="317"/>
    </row>
    <row r="592" spans="1:7" ht="18">
      <c r="A592" s="317"/>
      <c r="B592" s="317"/>
      <c r="C592" s="317"/>
      <c r="D592" s="317"/>
      <c r="E592" s="317"/>
      <c r="F592" s="317"/>
      <c r="G592" s="317"/>
    </row>
    <row r="593" spans="1:7" ht="18">
      <c r="A593" s="317"/>
      <c r="B593" s="317"/>
      <c r="C593" s="317"/>
      <c r="D593" s="317"/>
      <c r="E593" s="317"/>
      <c r="F593" s="317"/>
      <c r="G593" s="317"/>
    </row>
    <row r="594" spans="1:7" ht="18">
      <c r="A594" s="317"/>
      <c r="B594" s="317"/>
      <c r="C594" s="317"/>
      <c r="D594" s="317"/>
      <c r="E594" s="317"/>
      <c r="F594" s="317"/>
      <c r="G594" s="317"/>
    </row>
    <row r="595" spans="1:7" ht="18">
      <c r="A595" s="317"/>
      <c r="B595" s="317"/>
      <c r="C595" s="317"/>
      <c r="D595" s="317"/>
      <c r="E595" s="317"/>
      <c r="F595" s="317"/>
      <c r="G595" s="317"/>
    </row>
    <row r="596" spans="1:7" ht="18">
      <c r="A596" s="317"/>
      <c r="B596" s="317"/>
      <c r="C596" s="317"/>
      <c r="D596" s="317"/>
      <c r="E596" s="317"/>
      <c r="F596" s="317"/>
      <c r="G596" s="317"/>
    </row>
    <row r="597" spans="1:7" ht="18">
      <c r="A597" s="317"/>
      <c r="B597" s="317"/>
      <c r="C597" s="317"/>
      <c r="D597" s="317"/>
      <c r="E597" s="317"/>
      <c r="F597" s="317"/>
      <c r="G597" s="317"/>
    </row>
    <row r="598" spans="1:7" ht="18">
      <c r="A598" s="317"/>
      <c r="B598" s="317"/>
      <c r="C598" s="317"/>
      <c r="D598" s="317"/>
      <c r="E598" s="317"/>
      <c r="F598" s="317"/>
      <c r="G598" s="317"/>
    </row>
    <row r="599" spans="1:7" ht="18">
      <c r="A599" s="317"/>
      <c r="B599" s="317"/>
      <c r="C599" s="317"/>
      <c r="D599" s="317"/>
      <c r="E599" s="317"/>
      <c r="F599" s="317"/>
      <c r="G599" s="317"/>
    </row>
    <row r="600" spans="1:7" ht="18">
      <c r="A600" s="317"/>
      <c r="B600" s="317"/>
      <c r="C600" s="317"/>
      <c r="D600" s="317"/>
      <c r="E600" s="317"/>
      <c r="F600" s="317"/>
      <c r="G600" s="317"/>
    </row>
    <row r="601" spans="1:7" ht="18">
      <c r="A601" s="317"/>
      <c r="B601" s="317"/>
      <c r="C601" s="317"/>
      <c r="D601" s="317"/>
      <c r="E601" s="317"/>
      <c r="F601" s="317"/>
      <c r="G601" s="317"/>
    </row>
    <row r="602" spans="1:7" ht="18">
      <c r="A602" s="317"/>
      <c r="B602" s="317"/>
      <c r="C602" s="317"/>
      <c r="D602" s="317"/>
      <c r="E602" s="317"/>
      <c r="F602" s="317"/>
      <c r="G602" s="317"/>
    </row>
    <row r="603" spans="1:7" ht="18">
      <c r="A603" s="317"/>
      <c r="B603" s="317"/>
      <c r="C603" s="317"/>
      <c r="D603" s="317"/>
      <c r="E603" s="317"/>
      <c r="F603" s="317"/>
      <c r="G603" s="317"/>
    </row>
    <row r="604" spans="1:7" ht="18">
      <c r="A604" s="317"/>
      <c r="B604" s="317"/>
      <c r="C604" s="317"/>
      <c r="D604" s="317"/>
      <c r="E604" s="317"/>
      <c r="F604" s="317"/>
      <c r="G604" s="317"/>
    </row>
    <row r="605" spans="1:7" ht="18">
      <c r="A605" s="317"/>
      <c r="B605" s="317"/>
      <c r="C605" s="317"/>
      <c r="D605" s="317"/>
      <c r="E605" s="317"/>
      <c r="F605" s="317"/>
      <c r="G605" s="317"/>
    </row>
    <row r="606" spans="1:7" ht="18">
      <c r="A606" s="317"/>
      <c r="B606" s="317"/>
      <c r="C606" s="317"/>
      <c r="D606" s="317"/>
      <c r="E606" s="317"/>
      <c r="F606" s="317"/>
      <c r="G606" s="317"/>
    </row>
    <row r="607" spans="1:7" ht="18">
      <c r="A607" s="317"/>
      <c r="B607" s="317"/>
      <c r="C607" s="317"/>
      <c r="D607" s="317"/>
      <c r="E607" s="317"/>
      <c r="F607" s="317"/>
      <c r="G607" s="317"/>
    </row>
    <row r="608" spans="1:7" ht="18">
      <c r="A608" s="317"/>
      <c r="B608" s="317"/>
      <c r="C608" s="317"/>
      <c r="D608" s="317"/>
      <c r="E608" s="317"/>
      <c r="F608" s="317"/>
      <c r="G608" s="317"/>
    </row>
    <row r="609" spans="1:7" ht="18">
      <c r="A609" s="317"/>
      <c r="B609" s="317"/>
      <c r="C609" s="317"/>
      <c r="D609" s="317"/>
      <c r="E609" s="317"/>
      <c r="F609" s="317"/>
      <c r="G609" s="317"/>
    </row>
    <row r="610" spans="1:7" ht="18">
      <c r="A610" s="317"/>
      <c r="B610" s="317"/>
      <c r="C610" s="317"/>
      <c r="D610" s="317"/>
      <c r="E610" s="317"/>
      <c r="F610" s="317"/>
      <c r="G610" s="317"/>
    </row>
    <row r="611" spans="1:7" ht="18">
      <c r="A611" s="317"/>
      <c r="B611" s="317"/>
      <c r="C611" s="317"/>
      <c r="D611" s="317"/>
      <c r="E611" s="317"/>
      <c r="F611" s="317"/>
      <c r="G611" s="317"/>
    </row>
    <row r="612" spans="1:7" ht="18">
      <c r="A612" s="317"/>
      <c r="B612" s="317"/>
      <c r="C612" s="317"/>
      <c r="D612" s="317"/>
      <c r="E612" s="317"/>
      <c r="F612" s="317"/>
      <c r="G612" s="317"/>
    </row>
    <row r="613" spans="1:7" ht="18">
      <c r="A613" s="317"/>
      <c r="B613" s="317"/>
      <c r="C613" s="317"/>
      <c r="D613" s="317"/>
      <c r="E613" s="317"/>
      <c r="F613" s="317"/>
      <c r="G613" s="317"/>
    </row>
    <row r="614" spans="1:7" ht="18">
      <c r="A614" s="317"/>
      <c r="B614" s="317"/>
      <c r="C614" s="317"/>
      <c r="D614" s="317"/>
      <c r="E614" s="317"/>
      <c r="F614" s="317"/>
      <c r="G614" s="317"/>
    </row>
    <row r="615" spans="1:7" ht="18">
      <c r="A615" s="317"/>
      <c r="B615" s="317"/>
      <c r="C615" s="317"/>
      <c r="D615" s="317"/>
      <c r="E615" s="317"/>
      <c r="F615" s="317"/>
      <c r="G615" s="317"/>
    </row>
    <row r="616" spans="1:7" ht="18">
      <c r="A616" s="317"/>
      <c r="B616" s="317"/>
      <c r="C616" s="317"/>
      <c r="D616" s="317"/>
      <c r="E616" s="317"/>
      <c r="F616" s="317"/>
      <c r="G616" s="317"/>
    </row>
    <row r="617" spans="1:7" ht="18">
      <c r="A617" s="317"/>
      <c r="B617" s="317"/>
      <c r="C617" s="317"/>
      <c r="D617" s="317"/>
      <c r="E617" s="317"/>
      <c r="F617" s="317"/>
      <c r="G617" s="317"/>
    </row>
    <row r="618" spans="1:7" ht="18">
      <c r="A618" s="317"/>
      <c r="B618" s="317"/>
      <c r="C618" s="317"/>
      <c r="D618" s="317"/>
      <c r="E618" s="317"/>
      <c r="F618" s="317"/>
      <c r="G618" s="317"/>
    </row>
    <row r="619" spans="1:7" ht="18">
      <c r="A619" s="317"/>
      <c r="B619" s="317"/>
      <c r="C619" s="317"/>
      <c r="D619" s="317"/>
      <c r="E619" s="317"/>
      <c r="F619" s="317"/>
      <c r="G619" s="317"/>
    </row>
    <row r="620" spans="1:7" ht="18">
      <c r="A620" s="317"/>
      <c r="B620" s="317"/>
      <c r="C620" s="317"/>
      <c r="D620" s="317"/>
      <c r="E620" s="317"/>
      <c r="F620" s="317"/>
      <c r="G620" s="317"/>
    </row>
    <row r="621" spans="1:7" ht="18">
      <c r="A621" s="317"/>
      <c r="B621" s="317"/>
      <c r="C621" s="317"/>
      <c r="D621" s="317"/>
      <c r="E621" s="317"/>
      <c r="F621" s="317"/>
      <c r="G621" s="317"/>
    </row>
    <row r="622" spans="1:7" ht="18">
      <c r="A622" s="317"/>
      <c r="B622" s="317"/>
      <c r="C622" s="317"/>
      <c r="D622" s="317"/>
      <c r="E622" s="317"/>
      <c r="F622" s="317"/>
      <c r="G622" s="317"/>
    </row>
    <row r="623" spans="1:7" ht="18">
      <c r="A623" s="317"/>
      <c r="B623" s="317"/>
      <c r="C623" s="317"/>
      <c r="D623" s="317"/>
      <c r="E623" s="317"/>
      <c r="F623" s="317"/>
      <c r="G623" s="317"/>
    </row>
    <row r="624" spans="1:7" ht="18">
      <c r="A624" s="317"/>
      <c r="B624" s="317"/>
      <c r="C624" s="317"/>
      <c r="D624" s="317"/>
      <c r="E624" s="317"/>
      <c r="F624" s="317"/>
      <c r="G624" s="317"/>
    </row>
    <row r="625" spans="1:7" ht="18">
      <c r="A625" s="317"/>
      <c r="B625" s="317"/>
      <c r="C625" s="317"/>
      <c r="D625" s="317"/>
      <c r="E625" s="317"/>
      <c r="F625" s="317"/>
      <c r="G625" s="317"/>
    </row>
    <row r="626" spans="1:7" ht="18">
      <c r="A626" s="317"/>
      <c r="B626" s="317"/>
      <c r="C626" s="317"/>
      <c r="D626" s="317"/>
      <c r="E626" s="317"/>
      <c r="F626" s="317"/>
      <c r="G626" s="317"/>
    </row>
    <row r="627" spans="1:7" ht="18">
      <c r="A627" s="317"/>
      <c r="B627" s="317"/>
      <c r="C627" s="317"/>
      <c r="D627" s="317"/>
      <c r="E627" s="317"/>
      <c r="F627" s="317"/>
      <c r="G627" s="317"/>
    </row>
    <row r="628" spans="1:7" ht="18">
      <c r="A628" s="317"/>
      <c r="B628" s="317"/>
      <c r="C628" s="317"/>
      <c r="D628" s="317"/>
      <c r="E628" s="317"/>
      <c r="F628" s="317"/>
      <c r="G628" s="317"/>
    </row>
    <row r="629" spans="1:7" ht="18">
      <c r="A629" s="317"/>
      <c r="B629" s="317"/>
      <c r="C629" s="317"/>
      <c r="D629" s="317"/>
      <c r="E629" s="317"/>
      <c r="F629" s="317"/>
      <c r="G629" s="317"/>
    </row>
    <row r="630" spans="1:7" ht="18">
      <c r="A630" s="317"/>
      <c r="B630" s="317"/>
      <c r="C630" s="317"/>
      <c r="D630" s="317"/>
      <c r="E630" s="317"/>
      <c r="F630" s="317"/>
      <c r="G630" s="317"/>
    </row>
    <row r="631" spans="1:7" ht="18">
      <c r="A631" s="317"/>
      <c r="B631" s="317"/>
      <c r="C631" s="317"/>
      <c r="D631" s="317"/>
      <c r="E631" s="317"/>
      <c r="F631" s="317"/>
      <c r="G631" s="317"/>
    </row>
    <row r="632" spans="1:7" ht="18">
      <c r="A632" s="317"/>
      <c r="B632" s="317"/>
      <c r="C632" s="317"/>
      <c r="D632" s="317"/>
      <c r="E632" s="317"/>
      <c r="F632" s="317"/>
      <c r="G632" s="317"/>
    </row>
    <row r="633" spans="1:7" ht="18">
      <c r="A633" s="317"/>
      <c r="B633" s="317"/>
      <c r="C633" s="317"/>
      <c r="D633" s="317"/>
      <c r="E633" s="317"/>
      <c r="F633" s="317"/>
      <c r="G633" s="317"/>
    </row>
    <row r="634" spans="1:7" ht="18">
      <c r="A634" s="317"/>
      <c r="B634" s="317"/>
      <c r="C634" s="317"/>
      <c r="D634" s="317"/>
      <c r="E634" s="317"/>
      <c r="F634" s="317"/>
      <c r="G634" s="317"/>
    </row>
    <row r="635" spans="1:7" ht="18">
      <c r="A635" s="317"/>
      <c r="B635" s="317"/>
      <c r="C635" s="317"/>
      <c r="D635" s="317"/>
      <c r="E635" s="317"/>
      <c r="F635" s="317"/>
      <c r="G635" s="317"/>
    </row>
    <row r="636" spans="1:7" ht="18">
      <c r="A636" s="317"/>
      <c r="B636" s="317"/>
      <c r="C636" s="317"/>
      <c r="D636" s="317"/>
      <c r="E636" s="317"/>
      <c r="F636" s="317"/>
      <c r="G636" s="317"/>
    </row>
    <row r="637" spans="1:7" ht="18">
      <c r="A637" s="317"/>
      <c r="B637" s="317"/>
      <c r="C637" s="317"/>
      <c r="D637" s="317"/>
      <c r="E637" s="317"/>
      <c r="F637" s="317"/>
      <c r="G637" s="317"/>
    </row>
    <row r="638" spans="1:7" ht="18">
      <c r="A638" s="317"/>
      <c r="B638" s="317"/>
      <c r="C638" s="317"/>
      <c r="D638" s="317"/>
      <c r="E638" s="317"/>
      <c r="F638" s="317"/>
      <c r="G638" s="317"/>
    </row>
    <row r="639" spans="1:7" ht="18">
      <c r="A639" s="317"/>
      <c r="B639" s="317"/>
      <c r="C639" s="317"/>
      <c r="D639" s="317"/>
      <c r="E639" s="317"/>
      <c r="F639" s="317"/>
      <c r="G639" s="317"/>
    </row>
    <row r="640" spans="1:7" ht="18">
      <c r="A640" s="317"/>
      <c r="B640" s="317"/>
      <c r="C640" s="317"/>
      <c r="D640" s="317"/>
      <c r="E640" s="317"/>
      <c r="F640" s="317"/>
      <c r="G640" s="317"/>
    </row>
    <row r="641" spans="1:7" ht="18">
      <c r="A641" s="317"/>
      <c r="B641" s="317"/>
      <c r="C641" s="317"/>
      <c r="D641" s="317"/>
      <c r="E641" s="317"/>
      <c r="F641" s="317"/>
      <c r="G641" s="317"/>
    </row>
    <row r="642" spans="1:7" ht="18">
      <c r="A642" s="317"/>
      <c r="B642" s="317"/>
      <c r="C642" s="317"/>
      <c r="D642" s="317"/>
      <c r="E642" s="317"/>
      <c r="F642" s="317"/>
      <c r="G642" s="317"/>
    </row>
    <row r="643" spans="1:7" ht="18">
      <c r="A643" s="317"/>
      <c r="B643" s="317"/>
      <c r="C643" s="317"/>
      <c r="D643" s="317"/>
      <c r="E643" s="317"/>
      <c r="F643" s="317"/>
      <c r="G643" s="317"/>
    </row>
    <row r="644" spans="1:7" ht="18">
      <c r="A644" s="317"/>
      <c r="B644" s="317"/>
      <c r="C644" s="317"/>
      <c r="D644" s="317"/>
      <c r="E644" s="317"/>
      <c r="F644" s="317"/>
      <c r="G644" s="317"/>
    </row>
    <row r="645" spans="1:7" ht="18">
      <c r="A645" s="317"/>
      <c r="B645" s="317"/>
      <c r="C645" s="317"/>
      <c r="D645" s="317"/>
      <c r="E645" s="317"/>
      <c r="F645" s="317"/>
      <c r="G645" s="317"/>
    </row>
    <row r="646" spans="1:7" ht="18">
      <c r="A646" s="317"/>
      <c r="B646" s="317"/>
      <c r="C646" s="317"/>
      <c r="D646" s="317"/>
      <c r="E646" s="317"/>
      <c r="F646" s="317"/>
      <c r="G646" s="317"/>
    </row>
    <row r="647" spans="1:7" ht="18">
      <c r="A647" s="317"/>
      <c r="B647" s="317"/>
      <c r="C647" s="317"/>
      <c r="D647" s="317"/>
      <c r="E647" s="317"/>
      <c r="F647" s="317"/>
      <c r="G647" s="317"/>
    </row>
    <row r="648" spans="1:7" ht="18">
      <c r="A648" s="317"/>
      <c r="B648" s="317"/>
      <c r="C648" s="317"/>
      <c r="D648" s="317"/>
      <c r="E648" s="317"/>
      <c r="F648" s="317"/>
      <c r="G648" s="317"/>
    </row>
    <row r="649" spans="1:7" ht="18">
      <c r="A649" s="317"/>
      <c r="B649" s="317"/>
      <c r="C649" s="317"/>
      <c r="D649" s="317"/>
      <c r="E649" s="317"/>
      <c r="F649" s="317"/>
      <c r="G649" s="317"/>
    </row>
    <row r="650" spans="1:7" ht="18">
      <c r="A650" s="317"/>
      <c r="B650" s="317"/>
      <c r="C650" s="317"/>
      <c r="D650" s="317"/>
      <c r="E650" s="317"/>
      <c r="F650" s="317"/>
      <c r="G650" s="317"/>
    </row>
    <row r="651" spans="1:7" ht="18">
      <c r="A651" s="317"/>
      <c r="B651" s="317"/>
      <c r="C651" s="317"/>
      <c r="D651" s="317"/>
      <c r="E651" s="317"/>
      <c r="F651" s="317"/>
      <c r="G651" s="317"/>
    </row>
    <row r="652" spans="1:7" ht="18">
      <c r="A652" s="317"/>
      <c r="B652" s="317"/>
      <c r="C652" s="317"/>
      <c r="D652" s="317"/>
      <c r="E652" s="317"/>
      <c r="F652" s="317"/>
      <c r="G652" s="317"/>
    </row>
    <row r="653" spans="1:7" ht="18">
      <c r="A653" s="317"/>
      <c r="B653" s="317"/>
      <c r="C653" s="317"/>
      <c r="D653" s="317"/>
      <c r="E653" s="317"/>
      <c r="F653" s="317"/>
      <c r="G653" s="317"/>
    </row>
    <row r="654" spans="1:7" ht="18">
      <c r="A654" s="317"/>
      <c r="B654" s="317"/>
      <c r="C654" s="317"/>
      <c r="D654" s="317"/>
      <c r="E654" s="317"/>
      <c r="F654" s="317"/>
      <c r="G654" s="317"/>
    </row>
    <row r="655" spans="1:7" ht="18">
      <c r="A655" s="317"/>
      <c r="B655" s="317"/>
      <c r="C655" s="317"/>
      <c r="D655" s="317"/>
      <c r="E655" s="317"/>
      <c r="F655" s="317"/>
      <c r="G655" s="317"/>
    </row>
    <row r="656" spans="1:7" ht="18">
      <c r="A656" s="317"/>
      <c r="B656" s="317"/>
      <c r="C656" s="317"/>
      <c r="D656" s="317"/>
      <c r="E656" s="317"/>
      <c r="F656" s="317"/>
      <c r="G656" s="317"/>
    </row>
    <row r="657" spans="1:7" ht="18">
      <c r="A657" s="317"/>
      <c r="B657" s="317"/>
      <c r="C657" s="317"/>
      <c r="D657" s="317"/>
      <c r="E657" s="317"/>
      <c r="F657" s="317"/>
      <c r="G657" s="317"/>
    </row>
    <row r="658" spans="1:7" ht="18">
      <c r="A658" s="317"/>
      <c r="B658" s="317"/>
      <c r="C658" s="317"/>
      <c r="D658" s="317"/>
      <c r="E658" s="317"/>
      <c r="F658" s="317"/>
      <c r="G658" s="317"/>
    </row>
    <row r="659" spans="1:7" ht="18">
      <c r="A659" s="317"/>
      <c r="B659" s="317"/>
      <c r="C659" s="317"/>
      <c r="D659" s="317"/>
      <c r="E659" s="317"/>
      <c r="F659" s="317"/>
      <c r="G659" s="317"/>
    </row>
    <row r="660" spans="1:7" ht="18">
      <c r="A660" s="317"/>
      <c r="B660" s="317"/>
      <c r="C660" s="317"/>
      <c r="D660" s="317"/>
      <c r="E660" s="317"/>
      <c r="F660" s="317"/>
      <c r="G660" s="317"/>
    </row>
    <row r="661" spans="1:7" ht="18">
      <c r="A661" s="317"/>
      <c r="B661" s="317"/>
      <c r="C661" s="317"/>
      <c r="D661" s="317"/>
      <c r="E661" s="317"/>
      <c r="F661" s="317"/>
      <c r="G661" s="317"/>
    </row>
    <row r="662" spans="1:7" ht="18">
      <c r="A662" s="317"/>
      <c r="B662" s="317"/>
      <c r="C662" s="317"/>
      <c r="D662" s="317"/>
      <c r="E662" s="317"/>
      <c r="F662" s="317"/>
      <c r="G662" s="317"/>
    </row>
    <row r="663" spans="1:7" ht="18">
      <c r="A663" s="317"/>
      <c r="B663" s="317"/>
      <c r="C663" s="317"/>
      <c r="D663" s="317"/>
      <c r="E663" s="317"/>
      <c r="F663" s="317"/>
      <c r="G663" s="317"/>
    </row>
    <row r="664" spans="1:7" ht="18">
      <c r="A664" s="317"/>
      <c r="B664" s="317"/>
      <c r="C664" s="317"/>
      <c r="D664" s="317"/>
      <c r="E664" s="317"/>
      <c r="F664" s="317"/>
      <c r="G664" s="317"/>
    </row>
    <row r="665" spans="1:7" ht="18">
      <c r="A665" s="317"/>
      <c r="B665" s="317"/>
      <c r="C665" s="317"/>
      <c r="D665" s="317"/>
      <c r="E665" s="317"/>
      <c r="F665" s="317"/>
      <c r="G665" s="317"/>
    </row>
    <row r="666" spans="1:7" ht="18">
      <c r="A666" s="317"/>
      <c r="B666" s="317"/>
      <c r="C666" s="317"/>
      <c r="D666" s="317"/>
      <c r="E666" s="317"/>
      <c r="F666" s="317"/>
      <c r="G666" s="317"/>
    </row>
    <row r="667" spans="1:7" ht="18">
      <c r="A667" s="317"/>
      <c r="B667" s="317"/>
      <c r="C667" s="317"/>
      <c r="D667" s="317"/>
      <c r="E667" s="317"/>
      <c r="F667" s="317"/>
      <c r="G667" s="317"/>
    </row>
    <row r="668" spans="1:7" ht="18">
      <c r="A668" s="317"/>
      <c r="B668" s="317"/>
      <c r="C668" s="317"/>
      <c r="D668" s="317"/>
      <c r="E668" s="317"/>
      <c r="F668" s="317"/>
      <c r="G668" s="317"/>
    </row>
    <row r="669" spans="1:7" ht="18">
      <c r="A669" s="317"/>
      <c r="B669" s="317"/>
      <c r="C669" s="317"/>
      <c r="D669" s="317"/>
      <c r="E669" s="317"/>
      <c r="F669" s="317"/>
      <c r="G669" s="317"/>
    </row>
    <row r="670" spans="1:7" ht="18">
      <c r="A670" s="317"/>
      <c r="B670" s="317"/>
      <c r="C670" s="317"/>
      <c r="D670" s="317"/>
      <c r="E670" s="317"/>
      <c r="F670" s="317"/>
      <c r="G670" s="317"/>
    </row>
    <row r="671" spans="1:7" ht="18">
      <c r="A671" s="317"/>
      <c r="B671" s="317"/>
      <c r="C671" s="317"/>
      <c r="D671" s="317"/>
      <c r="E671" s="317"/>
      <c r="F671" s="317"/>
      <c r="G671" s="317"/>
    </row>
    <row r="672" spans="1:7" ht="18">
      <c r="A672" s="317"/>
      <c r="B672" s="317"/>
      <c r="C672" s="317"/>
      <c r="D672" s="317"/>
      <c r="E672" s="317"/>
      <c r="F672" s="317"/>
      <c r="G672" s="317"/>
    </row>
    <row r="673" spans="1:7" ht="18">
      <c r="A673" s="317"/>
      <c r="B673" s="317"/>
      <c r="C673" s="317"/>
      <c r="D673" s="317"/>
      <c r="E673" s="317"/>
      <c r="F673" s="317"/>
      <c r="G673" s="317"/>
    </row>
    <row r="674" spans="1:7" ht="18">
      <c r="A674" s="317"/>
      <c r="B674" s="317"/>
      <c r="C674" s="317"/>
      <c r="D674" s="317"/>
      <c r="E674" s="317"/>
      <c r="F674" s="317"/>
      <c r="G674" s="317"/>
    </row>
    <row r="675" spans="1:7" ht="18">
      <c r="A675" s="317"/>
      <c r="B675" s="317"/>
      <c r="C675" s="317"/>
      <c r="D675" s="317"/>
      <c r="E675" s="317"/>
      <c r="F675" s="317"/>
      <c r="G675" s="317"/>
    </row>
    <row r="676" spans="1:7" ht="18">
      <c r="A676" s="317"/>
      <c r="B676" s="317"/>
      <c r="C676" s="317"/>
      <c r="D676" s="317"/>
      <c r="E676" s="317"/>
      <c r="F676" s="317"/>
      <c r="G676" s="317"/>
    </row>
    <row r="677" spans="1:7" ht="18">
      <c r="A677" s="317"/>
      <c r="B677" s="317"/>
      <c r="C677" s="317"/>
      <c r="D677" s="317"/>
      <c r="E677" s="317"/>
      <c r="F677" s="317"/>
      <c r="G677" s="317"/>
    </row>
    <row r="678" spans="1:7" ht="18">
      <c r="A678" s="317"/>
      <c r="B678" s="317"/>
      <c r="C678" s="317"/>
      <c r="D678" s="317"/>
      <c r="E678" s="317"/>
      <c r="F678" s="317"/>
      <c r="G678" s="317"/>
    </row>
    <row r="679" spans="1:7" ht="18">
      <c r="A679" s="317"/>
      <c r="B679" s="317"/>
      <c r="C679" s="317"/>
      <c r="D679" s="317"/>
      <c r="E679" s="317"/>
      <c r="F679" s="317"/>
      <c r="G679" s="317"/>
    </row>
    <row r="680" spans="1:7" ht="18">
      <c r="A680" s="317"/>
      <c r="B680" s="317"/>
      <c r="C680" s="317"/>
      <c r="D680" s="317"/>
      <c r="E680" s="317"/>
      <c r="F680" s="317"/>
      <c r="G680" s="317"/>
    </row>
    <row r="681" spans="1:7" ht="18">
      <c r="A681" s="317"/>
      <c r="B681" s="317"/>
      <c r="C681" s="317"/>
      <c r="D681" s="317"/>
      <c r="E681" s="317"/>
      <c r="F681" s="317"/>
      <c r="G681" s="317"/>
    </row>
    <row r="682" spans="1:7" ht="18">
      <c r="A682" s="317"/>
      <c r="B682" s="317"/>
      <c r="C682" s="317"/>
      <c r="D682" s="317"/>
      <c r="E682" s="317"/>
      <c r="F682" s="317"/>
      <c r="G682" s="317"/>
    </row>
    <row r="683" spans="1:7" ht="18">
      <c r="A683" s="317"/>
      <c r="B683" s="317"/>
      <c r="C683" s="317"/>
      <c r="D683" s="317"/>
      <c r="E683" s="317"/>
      <c r="F683" s="317"/>
      <c r="G683" s="317"/>
    </row>
    <row r="684" spans="1:7" ht="18">
      <c r="A684" s="317"/>
      <c r="B684" s="317"/>
      <c r="C684" s="317"/>
      <c r="D684" s="317"/>
      <c r="E684" s="317"/>
      <c r="F684" s="317"/>
      <c r="G684" s="317"/>
    </row>
    <row r="685" spans="1:7" ht="18">
      <c r="A685" s="317"/>
      <c r="B685" s="317"/>
      <c r="C685" s="317"/>
      <c r="D685" s="317"/>
      <c r="E685" s="317"/>
      <c r="F685" s="317"/>
      <c r="G685" s="317"/>
    </row>
    <row r="686" spans="1:7" ht="18">
      <c r="A686" s="317"/>
      <c r="B686" s="317"/>
      <c r="C686" s="317"/>
      <c r="D686" s="317"/>
      <c r="E686" s="317"/>
      <c r="F686" s="317"/>
      <c r="G686" s="317"/>
    </row>
    <row r="687" spans="1:7" ht="18">
      <c r="A687" s="317"/>
      <c r="B687" s="317"/>
      <c r="C687" s="317"/>
      <c r="D687" s="317"/>
      <c r="E687" s="317"/>
      <c r="F687" s="317"/>
      <c r="G687" s="317"/>
    </row>
    <row r="688" spans="1:7" ht="18">
      <c r="A688" s="317"/>
      <c r="B688" s="317"/>
      <c r="C688" s="317"/>
      <c r="D688" s="317"/>
      <c r="E688" s="317"/>
      <c r="F688" s="317"/>
      <c r="G688" s="317"/>
    </row>
    <row r="689" spans="1:7" ht="18">
      <c r="A689" s="317"/>
      <c r="B689" s="317"/>
      <c r="C689" s="317"/>
      <c r="D689" s="317"/>
      <c r="E689" s="317"/>
      <c r="F689" s="317"/>
      <c r="G689" s="317"/>
    </row>
    <row r="690" spans="1:7" ht="18">
      <c r="A690" s="317"/>
      <c r="B690" s="317"/>
      <c r="C690" s="317"/>
      <c r="D690" s="317"/>
      <c r="E690" s="317"/>
      <c r="F690" s="317"/>
      <c r="G690" s="317"/>
    </row>
    <row r="691" spans="1:7" ht="18">
      <c r="A691" s="317"/>
      <c r="B691" s="317"/>
      <c r="C691" s="317"/>
      <c r="D691" s="317"/>
      <c r="E691" s="317"/>
      <c r="F691" s="317"/>
      <c r="G691" s="317"/>
    </row>
    <row r="692" spans="1:7" ht="18">
      <c r="A692" s="317"/>
      <c r="B692" s="317"/>
      <c r="C692" s="317"/>
      <c r="D692" s="317"/>
      <c r="E692" s="317"/>
      <c r="F692" s="317"/>
      <c r="G692" s="317"/>
    </row>
    <row r="693" spans="1:7" ht="18">
      <c r="A693" s="317"/>
      <c r="B693" s="317"/>
      <c r="C693" s="317"/>
      <c r="D693" s="317"/>
      <c r="E693" s="317"/>
      <c r="F693" s="317"/>
      <c r="G693" s="317"/>
    </row>
    <row r="694" spans="1:7" ht="18">
      <c r="A694" s="317"/>
      <c r="B694" s="317"/>
      <c r="C694" s="317"/>
      <c r="D694" s="317"/>
      <c r="E694" s="317"/>
      <c r="F694" s="317"/>
      <c r="G694" s="317"/>
    </row>
    <row r="695" spans="1:7" ht="18">
      <c r="A695" s="317"/>
      <c r="B695" s="317"/>
      <c r="C695" s="317"/>
      <c r="D695" s="317"/>
      <c r="E695" s="317"/>
      <c r="F695" s="317"/>
      <c r="G695" s="317"/>
    </row>
    <row r="696" spans="1:7" ht="18">
      <c r="A696" s="317"/>
      <c r="B696" s="317"/>
      <c r="C696" s="317"/>
      <c r="D696" s="317"/>
      <c r="E696" s="317"/>
      <c r="F696" s="317"/>
      <c r="G696" s="317"/>
    </row>
    <row r="697" spans="1:7" ht="18">
      <c r="A697" s="317"/>
      <c r="B697" s="317"/>
      <c r="C697" s="317"/>
      <c r="D697" s="317"/>
      <c r="E697" s="317"/>
      <c r="F697" s="317"/>
      <c r="G697" s="317"/>
    </row>
    <row r="698" spans="1:7" ht="18">
      <c r="A698" s="317"/>
      <c r="B698" s="317"/>
      <c r="C698" s="317"/>
      <c r="D698" s="317"/>
      <c r="E698" s="317"/>
      <c r="F698" s="317"/>
      <c r="G698" s="317"/>
    </row>
    <row r="699" spans="1:7" ht="18">
      <c r="A699" s="317"/>
      <c r="B699" s="317"/>
      <c r="C699" s="317"/>
      <c r="D699" s="317"/>
      <c r="E699" s="317"/>
      <c r="F699" s="317"/>
      <c r="G699" s="317"/>
    </row>
    <row r="700" spans="1:7" ht="18">
      <c r="A700" s="317"/>
      <c r="B700" s="317"/>
      <c r="C700" s="317"/>
      <c r="D700" s="317"/>
      <c r="E700" s="317"/>
      <c r="F700" s="317"/>
      <c r="G700" s="317"/>
    </row>
    <row r="701" spans="1:7" ht="18">
      <c r="A701" s="317"/>
      <c r="B701" s="317"/>
      <c r="C701" s="317"/>
      <c r="D701" s="317"/>
      <c r="E701" s="317"/>
      <c r="F701" s="317"/>
      <c r="G701" s="317"/>
    </row>
    <row r="702" spans="1:7" ht="18">
      <c r="A702" s="317"/>
      <c r="B702" s="317"/>
      <c r="C702" s="317"/>
      <c r="D702" s="317"/>
      <c r="E702" s="317"/>
      <c r="F702" s="317"/>
      <c r="G702" s="317"/>
    </row>
    <row r="703" spans="1:7" ht="18">
      <c r="A703" s="317"/>
      <c r="B703" s="317"/>
      <c r="C703" s="317"/>
      <c r="D703" s="317"/>
      <c r="E703" s="317"/>
      <c r="F703" s="317"/>
      <c r="G703" s="317"/>
    </row>
    <row r="704" spans="1:7" ht="18">
      <c r="A704" s="317"/>
      <c r="B704" s="317"/>
      <c r="C704" s="317"/>
      <c r="D704" s="317"/>
      <c r="E704" s="317"/>
      <c r="F704" s="317"/>
      <c r="G704" s="317"/>
    </row>
    <row r="705" spans="1:7" ht="18">
      <c r="A705" s="317"/>
      <c r="B705" s="317"/>
      <c r="C705" s="317"/>
      <c r="D705" s="317"/>
      <c r="E705" s="317"/>
      <c r="F705" s="317"/>
      <c r="G705" s="317"/>
    </row>
    <row r="706" spans="1:7" ht="18">
      <c r="A706" s="317"/>
      <c r="B706" s="317"/>
      <c r="C706" s="317"/>
      <c r="D706" s="317"/>
      <c r="E706" s="317"/>
      <c r="F706" s="317"/>
      <c r="G706" s="317"/>
    </row>
    <row r="707" spans="1:7" ht="18">
      <c r="A707" s="317"/>
      <c r="B707" s="317"/>
      <c r="C707" s="317"/>
      <c r="D707" s="317"/>
      <c r="E707" s="317"/>
      <c r="F707" s="317"/>
      <c r="G707" s="317"/>
    </row>
    <row r="708" spans="1:7" ht="18">
      <c r="A708" s="317"/>
      <c r="B708" s="317"/>
      <c r="C708" s="317"/>
      <c r="D708" s="317"/>
      <c r="E708" s="317"/>
      <c r="F708" s="317"/>
      <c r="G708" s="317"/>
    </row>
    <row r="709" spans="1:7" ht="18">
      <c r="A709" s="317"/>
      <c r="B709" s="317"/>
      <c r="C709" s="317"/>
      <c r="D709" s="317"/>
      <c r="E709" s="317"/>
      <c r="F709" s="317"/>
      <c r="G709" s="317"/>
    </row>
    <row r="710" spans="1:7" ht="18">
      <c r="A710" s="317"/>
      <c r="B710" s="317"/>
      <c r="C710" s="317"/>
      <c r="D710" s="317"/>
      <c r="E710" s="317"/>
      <c r="F710" s="317"/>
      <c r="G710" s="317"/>
    </row>
    <row r="711" spans="1:7" ht="18">
      <c r="A711" s="317"/>
      <c r="B711" s="317"/>
      <c r="C711" s="317"/>
      <c r="D711" s="317"/>
      <c r="E711" s="317"/>
      <c r="F711" s="317"/>
      <c r="G711" s="317"/>
    </row>
    <row r="712" spans="1:7" ht="18">
      <c r="A712" s="317"/>
      <c r="B712" s="317"/>
      <c r="C712" s="317"/>
      <c r="D712" s="317"/>
      <c r="E712" s="317"/>
      <c r="F712" s="317"/>
      <c r="G712" s="317"/>
    </row>
    <row r="713" spans="1:7" ht="18">
      <c r="A713" s="317"/>
      <c r="B713" s="317"/>
      <c r="C713" s="317"/>
      <c r="D713" s="317"/>
      <c r="E713" s="317"/>
      <c r="F713" s="317"/>
      <c r="G713" s="317"/>
    </row>
    <row r="714" spans="1:7" ht="18">
      <c r="A714" s="317"/>
      <c r="B714" s="317"/>
      <c r="C714" s="317"/>
      <c r="D714" s="317"/>
      <c r="E714" s="317"/>
      <c r="F714" s="317"/>
      <c r="G714" s="317"/>
    </row>
    <row r="715" spans="1:7" ht="18">
      <c r="A715" s="317"/>
      <c r="B715" s="317"/>
      <c r="C715" s="317"/>
      <c r="D715" s="317"/>
      <c r="E715" s="317"/>
      <c r="F715" s="317"/>
      <c r="G715" s="317"/>
    </row>
    <row r="716" spans="1:7" ht="18">
      <c r="A716" s="317"/>
      <c r="B716" s="317"/>
      <c r="C716" s="317"/>
      <c r="D716" s="317"/>
      <c r="E716" s="317"/>
      <c r="F716" s="317"/>
      <c r="G716" s="317"/>
    </row>
    <row r="717" spans="1:7" ht="18">
      <c r="A717" s="317"/>
      <c r="B717" s="317"/>
      <c r="C717" s="317"/>
      <c r="D717" s="317"/>
      <c r="E717" s="317"/>
      <c r="F717" s="317"/>
      <c r="G717" s="317"/>
    </row>
    <row r="718" spans="1:7" ht="18">
      <c r="A718" s="317"/>
      <c r="B718" s="317"/>
      <c r="C718" s="317"/>
      <c r="D718" s="317"/>
      <c r="E718" s="317"/>
      <c r="F718" s="317"/>
      <c r="G718" s="317"/>
    </row>
    <row r="719" spans="1:7" ht="18">
      <c r="A719" s="317"/>
      <c r="B719" s="317"/>
      <c r="C719" s="317"/>
      <c r="D719" s="317"/>
      <c r="E719" s="317"/>
      <c r="F719" s="317"/>
      <c r="G719" s="317"/>
    </row>
    <row r="720" spans="1:7" ht="18">
      <c r="A720" s="317"/>
      <c r="B720" s="317"/>
      <c r="C720" s="317"/>
      <c r="D720" s="317"/>
      <c r="E720" s="317"/>
      <c r="F720" s="317"/>
      <c r="G720" s="317"/>
    </row>
    <row r="721" spans="1:7" ht="18">
      <c r="A721" s="317"/>
      <c r="B721" s="317"/>
      <c r="C721" s="317"/>
      <c r="D721" s="317"/>
      <c r="E721" s="317"/>
      <c r="F721" s="317"/>
      <c r="G721" s="317"/>
    </row>
    <row r="722" spans="1:7" ht="18">
      <c r="A722" s="317"/>
      <c r="B722" s="317"/>
      <c r="C722" s="317"/>
      <c r="D722" s="317"/>
      <c r="E722" s="317"/>
      <c r="F722" s="317"/>
      <c r="G722" s="317"/>
    </row>
    <row r="723" spans="1:7" ht="18">
      <c r="A723" s="317"/>
      <c r="B723" s="317"/>
      <c r="C723" s="317"/>
      <c r="D723" s="317"/>
      <c r="E723" s="317"/>
      <c r="F723" s="317"/>
      <c r="G723" s="317"/>
    </row>
    <row r="724" spans="1:7" ht="18">
      <c r="A724" s="317"/>
      <c r="B724" s="317"/>
      <c r="C724" s="317"/>
      <c r="D724" s="317"/>
      <c r="E724" s="317"/>
      <c r="F724" s="317"/>
      <c r="G724" s="317"/>
    </row>
    <row r="725" spans="1:7" ht="18">
      <c r="A725" s="317"/>
      <c r="B725" s="317"/>
      <c r="C725" s="317"/>
      <c r="D725" s="317"/>
      <c r="E725" s="317"/>
      <c r="F725" s="317"/>
      <c r="G725" s="317"/>
    </row>
    <row r="726" spans="1:7" ht="18">
      <c r="A726" s="317"/>
      <c r="B726" s="317"/>
      <c r="C726" s="317"/>
      <c r="D726" s="317"/>
      <c r="E726" s="317"/>
      <c r="F726" s="317"/>
      <c r="G726" s="317"/>
    </row>
    <row r="727" spans="1:7" ht="18">
      <c r="A727" s="317"/>
      <c r="B727" s="317"/>
      <c r="C727" s="317"/>
      <c r="D727" s="317"/>
      <c r="E727" s="317"/>
      <c r="F727" s="317"/>
      <c r="G727" s="317"/>
    </row>
    <row r="728" spans="1:7" ht="18">
      <c r="A728" s="317"/>
      <c r="B728" s="317"/>
      <c r="C728" s="317"/>
      <c r="D728" s="317"/>
      <c r="E728" s="317"/>
      <c r="F728" s="317"/>
      <c r="G728" s="317"/>
    </row>
    <row r="729" spans="1:7" ht="18">
      <c r="A729" s="317"/>
      <c r="B729" s="317"/>
      <c r="C729" s="317"/>
      <c r="D729" s="317"/>
      <c r="E729" s="317"/>
      <c r="F729" s="317"/>
      <c r="G729" s="317"/>
    </row>
    <row r="730" spans="1:7" ht="18">
      <c r="A730" s="317"/>
      <c r="B730" s="317"/>
      <c r="C730" s="317"/>
      <c r="D730" s="317"/>
      <c r="E730" s="317"/>
      <c r="F730" s="317"/>
      <c r="G730" s="317"/>
    </row>
    <row r="731" spans="1:7" ht="18">
      <c r="A731" s="317"/>
      <c r="B731" s="317"/>
      <c r="C731" s="317"/>
      <c r="D731" s="317"/>
      <c r="E731" s="317"/>
      <c r="F731" s="317"/>
      <c r="G731" s="317"/>
    </row>
    <row r="732" spans="1:7" ht="18">
      <c r="A732" s="317"/>
      <c r="B732" s="317"/>
      <c r="C732" s="317"/>
      <c r="D732" s="317"/>
      <c r="E732" s="317"/>
      <c r="F732" s="317"/>
      <c r="G732" s="317"/>
    </row>
    <row r="733" spans="1:7" ht="18">
      <c r="A733" s="317"/>
      <c r="B733" s="317"/>
      <c r="C733" s="317"/>
      <c r="D733" s="317"/>
      <c r="E733" s="317"/>
      <c r="F733" s="317"/>
      <c r="G733" s="317"/>
    </row>
    <row r="734" spans="1:7" ht="18">
      <c r="A734" s="317"/>
      <c r="B734" s="317"/>
      <c r="C734" s="317"/>
      <c r="D734" s="317"/>
      <c r="E734" s="317"/>
      <c r="F734" s="317"/>
      <c r="G734" s="317"/>
    </row>
    <row r="735" spans="1:7" ht="18">
      <c r="A735" s="317"/>
      <c r="B735" s="317"/>
      <c r="C735" s="317"/>
      <c r="D735" s="317"/>
      <c r="E735" s="317"/>
      <c r="F735" s="317"/>
      <c r="G735" s="317"/>
    </row>
    <row r="736" spans="1:7" ht="18">
      <c r="A736" s="317"/>
      <c r="B736" s="317"/>
      <c r="C736" s="317"/>
      <c r="D736" s="317"/>
      <c r="E736" s="317"/>
      <c r="F736" s="317"/>
      <c r="G736" s="317"/>
    </row>
    <row r="737" spans="1:7" ht="18">
      <c r="A737" s="317"/>
      <c r="B737" s="317"/>
      <c r="C737" s="317"/>
      <c r="D737" s="317"/>
      <c r="E737" s="317"/>
      <c r="F737" s="317"/>
      <c r="G737" s="317"/>
    </row>
    <row r="738" spans="1:7" ht="18">
      <c r="A738" s="317"/>
      <c r="B738" s="317"/>
      <c r="C738" s="317"/>
      <c r="D738" s="317"/>
      <c r="E738" s="317"/>
      <c r="F738" s="317"/>
      <c r="G738" s="317"/>
    </row>
    <row r="739" spans="1:7" ht="18">
      <c r="A739" s="317"/>
      <c r="B739" s="317"/>
      <c r="C739" s="317"/>
      <c r="D739" s="317"/>
      <c r="E739" s="317"/>
      <c r="F739" s="317"/>
      <c r="G739" s="317"/>
    </row>
    <row r="740" spans="1:7" ht="18">
      <c r="A740" s="317"/>
      <c r="B740" s="317"/>
      <c r="C740" s="317"/>
      <c r="D740" s="317"/>
      <c r="E740" s="317"/>
      <c r="F740" s="317"/>
      <c r="G740" s="317"/>
    </row>
    <row r="741" spans="1:7" ht="18">
      <c r="A741" s="317"/>
      <c r="B741" s="317"/>
      <c r="C741" s="317"/>
      <c r="D741" s="317"/>
      <c r="E741" s="317"/>
      <c r="F741" s="317"/>
      <c r="G741" s="317"/>
    </row>
    <row r="742" spans="1:7" ht="18">
      <c r="A742" s="317"/>
      <c r="B742" s="317"/>
      <c r="C742" s="317"/>
      <c r="D742" s="317"/>
      <c r="E742" s="317"/>
      <c r="F742" s="317"/>
      <c r="G742" s="317"/>
    </row>
    <row r="743" spans="1:7" ht="18">
      <c r="A743" s="317"/>
      <c r="B743" s="317"/>
      <c r="C743" s="317"/>
      <c r="D743" s="317"/>
      <c r="E743" s="317"/>
      <c r="F743" s="317"/>
      <c r="G743" s="317"/>
    </row>
    <row r="744" spans="1:7" ht="18">
      <c r="A744" s="317"/>
      <c r="B744" s="317"/>
      <c r="C744" s="317"/>
      <c r="D744" s="317"/>
      <c r="E744" s="317"/>
      <c r="F744" s="317"/>
      <c r="G744" s="317"/>
    </row>
    <row r="745" spans="1:7" ht="18">
      <c r="A745" s="317"/>
      <c r="B745" s="317"/>
      <c r="C745" s="317"/>
      <c r="D745" s="317"/>
      <c r="E745" s="317"/>
      <c r="F745" s="317"/>
      <c r="G745" s="317"/>
    </row>
    <row r="746" spans="1:7" ht="18">
      <c r="A746" s="317"/>
      <c r="B746" s="317"/>
      <c r="C746" s="317"/>
      <c r="D746" s="317"/>
      <c r="E746" s="317"/>
      <c r="F746" s="317"/>
      <c r="G746" s="317"/>
    </row>
    <row r="747" spans="1:7" ht="18">
      <c r="A747" s="317"/>
      <c r="B747" s="317"/>
      <c r="C747" s="317"/>
      <c r="D747" s="317"/>
      <c r="E747" s="317"/>
      <c r="F747" s="317"/>
      <c r="G747" s="317"/>
    </row>
    <row r="748" spans="1:7" ht="18">
      <c r="A748" s="317"/>
      <c r="B748" s="317"/>
      <c r="C748" s="317"/>
      <c r="D748" s="317"/>
      <c r="E748" s="317"/>
      <c r="F748" s="317"/>
      <c r="G748" s="317"/>
    </row>
    <row r="749" spans="1:7" ht="18">
      <c r="A749" s="317"/>
      <c r="B749" s="317"/>
      <c r="C749" s="317"/>
      <c r="D749" s="317"/>
      <c r="E749" s="317"/>
      <c r="F749" s="317"/>
      <c r="G749" s="317"/>
    </row>
    <row r="750" spans="1:7" ht="18">
      <c r="A750" s="317"/>
      <c r="B750" s="317"/>
      <c r="C750" s="317"/>
      <c r="D750" s="317"/>
      <c r="E750" s="317"/>
      <c r="F750" s="317"/>
      <c r="G750" s="317"/>
    </row>
    <row r="751" spans="1:7" ht="18">
      <c r="A751" s="317"/>
      <c r="B751" s="317"/>
      <c r="C751" s="317"/>
      <c r="D751" s="317"/>
      <c r="E751" s="317"/>
      <c r="F751" s="317"/>
      <c r="G751" s="317"/>
    </row>
    <row r="752" spans="1:7" ht="18">
      <c r="A752" s="317"/>
      <c r="B752" s="317"/>
      <c r="C752" s="317"/>
      <c r="D752" s="317"/>
      <c r="E752" s="317"/>
      <c r="F752" s="317"/>
      <c r="G752" s="317"/>
    </row>
    <row r="753" spans="1:7" ht="18">
      <c r="A753" s="317"/>
      <c r="B753" s="317"/>
      <c r="C753" s="317"/>
      <c r="D753" s="317"/>
      <c r="E753" s="317"/>
      <c r="F753" s="317"/>
      <c r="G753" s="317"/>
    </row>
    <row r="754" spans="1:7" ht="18">
      <c r="A754" s="317"/>
      <c r="B754" s="317"/>
      <c r="C754" s="317"/>
      <c r="D754" s="317"/>
      <c r="E754" s="317"/>
      <c r="F754" s="317"/>
      <c r="G754" s="317"/>
    </row>
    <row r="755" spans="1:7" ht="18">
      <c r="A755" s="317"/>
      <c r="B755" s="317"/>
      <c r="C755" s="317"/>
      <c r="D755" s="317"/>
      <c r="E755" s="317"/>
      <c r="F755" s="317"/>
      <c r="G755" s="317"/>
    </row>
    <row r="756" spans="1:7" ht="18">
      <c r="A756" s="317"/>
      <c r="B756" s="317"/>
      <c r="C756" s="317"/>
      <c r="D756" s="317"/>
      <c r="E756" s="317"/>
      <c r="F756" s="317"/>
      <c r="G756" s="317"/>
    </row>
    <row r="757" spans="1:7" ht="18">
      <c r="A757" s="317"/>
      <c r="B757" s="317"/>
      <c r="C757" s="317"/>
      <c r="D757" s="317"/>
      <c r="E757" s="317"/>
      <c r="F757" s="317"/>
      <c r="G757" s="317"/>
    </row>
    <row r="758" spans="1:7" ht="18">
      <c r="A758" s="317"/>
      <c r="B758" s="317"/>
      <c r="C758" s="317"/>
      <c r="D758" s="317"/>
      <c r="E758" s="317"/>
      <c r="F758" s="317"/>
      <c r="G758" s="317"/>
    </row>
    <row r="759" spans="1:7" ht="18">
      <c r="A759" s="317"/>
      <c r="B759" s="317"/>
      <c r="C759" s="317"/>
      <c r="D759" s="317"/>
      <c r="E759" s="317"/>
      <c r="F759" s="317"/>
      <c r="G759" s="317"/>
    </row>
    <row r="760" spans="1:7" ht="18">
      <c r="A760" s="317"/>
      <c r="B760" s="317"/>
      <c r="C760" s="317"/>
      <c r="D760" s="317"/>
      <c r="E760" s="317"/>
      <c r="F760" s="317"/>
      <c r="G760" s="317"/>
    </row>
    <row r="761" spans="1:7" ht="18">
      <c r="A761" s="317"/>
      <c r="B761" s="317"/>
      <c r="C761" s="317"/>
      <c r="D761" s="317"/>
      <c r="E761" s="317"/>
      <c r="F761" s="317"/>
      <c r="G761" s="317"/>
    </row>
    <row r="762" spans="1:7" ht="18">
      <c r="A762" s="317"/>
      <c r="B762" s="317"/>
      <c r="C762" s="317"/>
      <c r="D762" s="317"/>
      <c r="E762" s="317"/>
      <c r="F762" s="317"/>
      <c r="G762" s="317"/>
    </row>
    <row r="763" spans="1:7" ht="18">
      <c r="A763" s="317"/>
      <c r="B763" s="317"/>
      <c r="C763" s="317"/>
      <c r="D763" s="317"/>
      <c r="E763" s="317"/>
      <c r="F763" s="317"/>
      <c r="G763" s="317"/>
    </row>
    <row r="764" spans="1:7" ht="18">
      <c r="A764" s="317"/>
      <c r="B764" s="317"/>
      <c r="C764" s="317"/>
      <c r="D764" s="317"/>
      <c r="E764" s="317"/>
      <c r="F764" s="317"/>
      <c r="G764" s="317"/>
    </row>
    <row r="765" spans="1:7" ht="18">
      <c r="A765" s="317"/>
      <c r="B765" s="317"/>
      <c r="C765" s="317"/>
      <c r="D765" s="317"/>
      <c r="E765" s="317"/>
      <c r="F765" s="317"/>
      <c r="G765" s="317"/>
    </row>
    <row r="766" spans="1:7" ht="18">
      <c r="A766" s="317"/>
      <c r="B766" s="317"/>
      <c r="C766" s="317"/>
      <c r="D766" s="317"/>
      <c r="E766" s="317"/>
      <c r="F766" s="317"/>
      <c r="G766" s="317"/>
    </row>
    <row r="767" spans="1:7" ht="18">
      <c r="A767" s="317"/>
      <c r="B767" s="317"/>
      <c r="C767" s="317"/>
      <c r="D767" s="317"/>
      <c r="E767" s="317"/>
      <c r="F767" s="317"/>
      <c r="G767" s="317"/>
    </row>
    <row r="768" spans="1:7" ht="18">
      <c r="A768" s="317"/>
      <c r="B768" s="317"/>
      <c r="C768" s="317"/>
      <c r="D768" s="317"/>
      <c r="E768" s="317"/>
      <c r="F768" s="317"/>
      <c r="G768" s="317"/>
    </row>
    <row r="769" spans="1:7" ht="18">
      <c r="A769" s="317"/>
      <c r="B769" s="317"/>
      <c r="C769" s="317"/>
      <c r="D769" s="317"/>
      <c r="E769" s="317"/>
      <c r="F769" s="317"/>
      <c r="G769" s="317"/>
    </row>
    <row r="770" spans="1:7" ht="18">
      <c r="A770" s="317"/>
      <c r="B770" s="317"/>
      <c r="C770" s="317"/>
      <c r="D770" s="317"/>
      <c r="E770" s="317"/>
      <c r="F770" s="317"/>
      <c r="G770" s="317"/>
    </row>
    <row r="771" spans="1:7" ht="18">
      <c r="A771" s="317"/>
      <c r="B771" s="317"/>
      <c r="C771" s="317"/>
      <c r="D771" s="317"/>
      <c r="E771" s="317"/>
      <c r="F771" s="317"/>
      <c r="G771" s="317"/>
    </row>
    <row r="772" spans="1:7" ht="18">
      <c r="A772" s="317"/>
      <c r="B772" s="317"/>
      <c r="C772" s="317"/>
      <c r="D772" s="317"/>
      <c r="E772" s="317"/>
      <c r="F772" s="317"/>
      <c r="G772" s="317"/>
    </row>
    <row r="773" spans="1:7" ht="18">
      <c r="A773" s="317"/>
      <c r="B773" s="317"/>
      <c r="C773" s="317"/>
      <c r="D773" s="317"/>
      <c r="E773" s="317"/>
      <c r="F773" s="317"/>
      <c r="G773" s="317"/>
    </row>
    <row r="774" spans="1:7" ht="18">
      <c r="A774" s="317"/>
      <c r="B774" s="317"/>
      <c r="C774" s="317"/>
      <c r="D774" s="317"/>
      <c r="E774" s="317"/>
      <c r="F774" s="317"/>
      <c r="G774" s="317"/>
    </row>
    <row r="775" spans="1:7" ht="18">
      <c r="A775" s="317"/>
      <c r="B775" s="317"/>
      <c r="C775" s="317"/>
      <c r="D775" s="317"/>
      <c r="E775" s="317"/>
      <c r="F775" s="317"/>
      <c r="G775" s="317"/>
    </row>
    <row r="776" spans="1:7" ht="18">
      <c r="A776" s="317"/>
      <c r="B776" s="317"/>
      <c r="C776" s="317"/>
      <c r="D776" s="317"/>
      <c r="E776" s="317"/>
      <c r="F776" s="317"/>
      <c r="G776" s="317"/>
    </row>
    <row r="777" spans="1:7" ht="18">
      <c r="A777" s="317"/>
      <c r="B777" s="317"/>
      <c r="C777" s="317"/>
      <c r="D777" s="317"/>
      <c r="E777" s="317"/>
      <c r="F777" s="317"/>
      <c r="G777" s="317"/>
    </row>
    <row r="778" spans="1:7" ht="18">
      <c r="A778" s="317"/>
      <c r="B778" s="317"/>
      <c r="C778" s="317"/>
      <c r="D778" s="317"/>
      <c r="E778" s="317"/>
      <c r="F778" s="317"/>
      <c r="G778" s="317"/>
    </row>
    <row r="779" spans="1:7" ht="18">
      <c r="A779" s="317"/>
      <c r="B779" s="317"/>
      <c r="C779" s="317"/>
      <c r="D779" s="317"/>
      <c r="E779" s="317"/>
      <c r="F779" s="317"/>
      <c r="G779" s="317"/>
    </row>
    <row r="780" spans="1:7" ht="18">
      <c r="A780" s="317"/>
      <c r="B780" s="317"/>
      <c r="C780" s="317"/>
      <c r="D780" s="317"/>
      <c r="E780" s="317"/>
      <c r="F780" s="317"/>
      <c r="G780" s="317"/>
    </row>
    <row r="781" spans="1:7" ht="18">
      <c r="A781" s="317"/>
      <c r="B781" s="317"/>
      <c r="C781" s="317"/>
      <c r="D781" s="317"/>
      <c r="E781" s="317"/>
      <c r="F781" s="317"/>
      <c r="G781" s="317"/>
    </row>
    <row r="782" spans="1:7" ht="18">
      <c r="A782" s="317"/>
      <c r="B782" s="317"/>
      <c r="C782" s="317"/>
      <c r="D782" s="317"/>
      <c r="E782" s="317"/>
      <c r="F782" s="317"/>
      <c r="G782" s="317"/>
    </row>
    <row r="783" spans="1:7" ht="18">
      <c r="A783" s="317"/>
      <c r="B783" s="317"/>
      <c r="C783" s="317"/>
      <c r="D783" s="317"/>
      <c r="E783" s="317"/>
      <c r="F783" s="317"/>
      <c r="G783" s="317"/>
    </row>
    <row r="784" spans="1:7" ht="18">
      <c r="A784" s="317"/>
      <c r="B784" s="317"/>
      <c r="C784" s="317"/>
      <c r="D784" s="317"/>
      <c r="E784" s="317"/>
      <c r="F784" s="317"/>
      <c r="G784" s="317"/>
    </row>
    <row r="785" spans="1:7" ht="18">
      <c r="A785" s="317"/>
      <c r="B785" s="317"/>
      <c r="C785" s="317"/>
      <c r="D785" s="317"/>
      <c r="E785" s="317"/>
      <c r="F785" s="317"/>
      <c r="G785" s="317"/>
    </row>
    <row r="786" spans="1:7" ht="18">
      <c r="A786" s="317"/>
      <c r="B786" s="317"/>
      <c r="C786" s="317"/>
      <c r="D786" s="317"/>
      <c r="E786" s="317"/>
      <c r="F786" s="317"/>
      <c r="G786" s="317"/>
    </row>
    <row r="787" spans="1:7" ht="18">
      <c r="A787" s="317"/>
      <c r="B787" s="317"/>
      <c r="C787" s="317"/>
      <c r="D787" s="317"/>
      <c r="E787" s="317"/>
      <c r="F787" s="317"/>
      <c r="G787" s="317"/>
    </row>
    <row r="788" spans="1:7" ht="18">
      <c r="A788" s="317"/>
      <c r="B788" s="317"/>
      <c r="C788" s="317"/>
      <c r="D788" s="317"/>
      <c r="E788" s="317"/>
      <c r="F788" s="317"/>
      <c r="G788" s="317"/>
    </row>
    <row r="789" spans="1:7" ht="18">
      <c r="A789" s="317"/>
      <c r="B789" s="317"/>
      <c r="C789" s="317"/>
      <c r="D789" s="317"/>
      <c r="E789" s="317"/>
      <c r="F789" s="317"/>
      <c r="G789" s="317"/>
    </row>
    <row r="790" spans="1:7" ht="18">
      <c r="A790" s="317"/>
      <c r="B790" s="317"/>
      <c r="C790" s="317"/>
      <c r="D790" s="317"/>
      <c r="E790" s="317"/>
      <c r="F790" s="317"/>
      <c r="G790" s="317"/>
    </row>
    <row r="791" spans="1:7" ht="18">
      <c r="A791" s="317"/>
      <c r="B791" s="317"/>
      <c r="C791" s="317"/>
      <c r="D791" s="317"/>
      <c r="E791" s="317"/>
      <c r="F791" s="317"/>
      <c r="G791" s="317"/>
    </row>
    <row r="792" spans="1:7" ht="18">
      <c r="A792" s="317"/>
      <c r="B792" s="317"/>
      <c r="C792" s="317"/>
      <c r="D792" s="317"/>
      <c r="E792" s="317"/>
      <c r="F792" s="317"/>
      <c r="G792" s="317"/>
    </row>
    <row r="793" spans="1:7" ht="18">
      <c r="A793" s="317"/>
      <c r="B793" s="317"/>
      <c r="C793" s="317"/>
      <c r="D793" s="317"/>
      <c r="E793" s="317"/>
      <c r="F793" s="317"/>
      <c r="G793" s="317"/>
    </row>
    <row r="794" spans="1:7" ht="18">
      <c r="A794" s="317"/>
      <c r="B794" s="317"/>
      <c r="C794" s="317"/>
      <c r="D794" s="317"/>
      <c r="E794" s="317"/>
      <c r="F794" s="317"/>
      <c r="G794" s="317"/>
    </row>
    <row r="795" spans="1:7" ht="18">
      <c r="A795" s="317"/>
      <c r="B795" s="317"/>
      <c r="C795" s="317"/>
      <c r="D795" s="317"/>
      <c r="E795" s="317"/>
      <c r="F795" s="317"/>
      <c r="G795" s="317"/>
    </row>
    <row r="796" spans="1:7" ht="18">
      <c r="A796" s="317"/>
      <c r="B796" s="317"/>
      <c r="C796" s="317"/>
      <c r="D796" s="317"/>
      <c r="E796" s="317"/>
      <c r="F796" s="317"/>
      <c r="G796" s="317"/>
    </row>
    <row r="797" spans="1:7" ht="18">
      <c r="A797" s="317"/>
      <c r="B797" s="317"/>
      <c r="C797" s="317"/>
      <c r="D797" s="317"/>
      <c r="E797" s="317"/>
      <c r="F797" s="317"/>
      <c r="G797" s="317"/>
    </row>
    <row r="798" spans="1:7" ht="18">
      <c r="A798" s="317"/>
      <c r="B798" s="317"/>
      <c r="C798" s="317"/>
      <c r="D798" s="317"/>
      <c r="E798" s="317"/>
      <c r="F798" s="317"/>
      <c r="G798" s="317"/>
    </row>
    <row r="799" spans="1:7" ht="18">
      <c r="A799" s="317"/>
      <c r="B799" s="317"/>
      <c r="C799" s="317"/>
      <c r="D799" s="317"/>
      <c r="E799" s="317"/>
      <c r="F799" s="317"/>
      <c r="G799" s="317"/>
    </row>
    <row r="800" spans="1:7" ht="18">
      <c r="A800" s="317"/>
      <c r="B800" s="317"/>
      <c r="C800" s="317"/>
      <c r="D800" s="317"/>
      <c r="E800" s="317"/>
      <c r="F800" s="317"/>
      <c r="G800" s="317"/>
    </row>
    <row r="801" spans="1:7" ht="18">
      <c r="A801" s="317"/>
      <c r="B801" s="317"/>
      <c r="C801" s="317"/>
      <c r="D801" s="317"/>
      <c r="E801" s="317"/>
      <c r="F801" s="317"/>
      <c r="G801" s="317"/>
    </row>
    <row r="802" spans="1:7" ht="18">
      <c r="A802" s="317"/>
      <c r="B802" s="317"/>
      <c r="C802" s="317"/>
      <c r="D802" s="317"/>
      <c r="E802" s="317"/>
      <c r="F802" s="317"/>
      <c r="G802" s="317"/>
    </row>
    <row r="803" spans="1:7" ht="18">
      <c r="A803" s="317"/>
      <c r="B803" s="317"/>
      <c r="C803" s="317"/>
      <c r="D803" s="317"/>
      <c r="E803" s="317"/>
      <c r="F803" s="317"/>
      <c r="G803" s="317"/>
    </row>
    <row r="804" spans="1:7" ht="18">
      <c r="A804" s="317"/>
      <c r="B804" s="317"/>
      <c r="C804" s="317"/>
      <c r="D804" s="317"/>
      <c r="E804" s="317"/>
      <c r="F804" s="317"/>
      <c r="G804" s="317"/>
    </row>
    <row r="805" spans="1:7" ht="18">
      <c r="A805" s="317"/>
      <c r="B805" s="317"/>
      <c r="C805" s="317"/>
      <c r="D805" s="317"/>
      <c r="E805" s="317"/>
      <c r="F805" s="317"/>
      <c r="G805" s="317"/>
    </row>
    <row r="806" spans="1:7" ht="18">
      <c r="A806" s="317"/>
      <c r="B806" s="317"/>
      <c r="C806" s="317"/>
      <c r="D806" s="317"/>
      <c r="E806" s="317"/>
      <c r="F806" s="317"/>
      <c r="G806" s="317"/>
    </row>
    <row r="807" spans="1:7" ht="18">
      <c r="A807" s="317"/>
      <c r="B807" s="317"/>
      <c r="C807" s="317"/>
      <c r="D807" s="317"/>
      <c r="E807" s="317"/>
      <c r="F807" s="317"/>
      <c r="G807" s="317"/>
    </row>
    <row r="808" spans="1:7" ht="18">
      <c r="A808" s="317"/>
      <c r="B808" s="317"/>
      <c r="C808" s="317"/>
      <c r="D808" s="317"/>
      <c r="E808" s="317"/>
      <c r="F808" s="317"/>
      <c r="G808" s="317"/>
    </row>
    <row r="809" spans="1:7" ht="18">
      <c r="A809" s="317"/>
      <c r="B809" s="317"/>
      <c r="C809" s="317"/>
      <c r="D809" s="317"/>
      <c r="E809" s="317"/>
      <c r="F809" s="317"/>
      <c r="G809" s="317"/>
    </row>
    <row r="810" spans="1:7" ht="18">
      <c r="A810" s="317"/>
      <c r="B810" s="317"/>
      <c r="C810" s="317"/>
      <c r="D810" s="317"/>
      <c r="E810" s="317"/>
      <c r="F810" s="317"/>
      <c r="G810" s="317"/>
    </row>
    <row r="811" spans="1:7" ht="18">
      <c r="A811" s="317"/>
      <c r="B811" s="317"/>
      <c r="C811" s="317"/>
      <c r="D811" s="317"/>
      <c r="E811" s="317"/>
      <c r="F811" s="317"/>
      <c r="G811" s="317"/>
    </row>
    <row r="812" spans="1:7" ht="18">
      <c r="A812" s="317"/>
      <c r="B812" s="317"/>
      <c r="C812" s="317"/>
      <c r="D812" s="317"/>
      <c r="E812" s="317"/>
      <c r="F812" s="317"/>
      <c r="G812" s="317"/>
    </row>
    <row r="813" spans="1:7" ht="18">
      <c r="A813" s="317"/>
      <c r="B813" s="317"/>
      <c r="C813" s="317"/>
      <c r="D813" s="317"/>
      <c r="E813" s="317"/>
      <c r="F813" s="317"/>
      <c r="G813" s="317"/>
    </row>
    <row r="814" spans="1:7" ht="18">
      <c r="A814" s="317"/>
      <c r="B814" s="317"/>
      <c r="C814" s="317"/>
      <c r="D814" s="317"/>
      <c r="E814" s="317"/>
      <c r="F814" s="317"/>
      <c r="G814" s="317"/>
    </row>
    <row r="815" spans="1:7" ht="18">
      <c r="A815" s="317"/>
      <c r="B815" s="317"/>
      <c r="C815" s="317"/>
      <c r="D815" s="317"/>
      <c r="E815" s="317"/>
      <c r="F815" s="317"/>
      <c r="G815" s="317"/>
    </row>
    <row r="816" spans="1:7" ht="18">
      <c r="A816" s="317"/>
      <c r="B816" s="317"/>
      <c r="C816" s="317"/>
      <c r="D816" s="317"/>
      <c r="E816" s="317"/>
      <c r="F816" s="317"/>
      <c r="G816" s="317"/>
    </row>
    <row r="817" spans="1:7" ht="18">
      <c r="A817" s="317"/>
      <c r="B817" s="317"/>
      <c r="C817" s="317"/>
      <c r="D817" s="317"/>
      <c r="E817" s="317"/>
      <c r="F817" s="317"/>
      <c r="G817" s="317"/>
    </row>
    <row r="818" spans="1:7" ht="18">
      <c r="A818" s="317"/>
      <c r="B818" s="317"/>
      <c r="C818" s="317"/>
      <c r="D818" s="317"/>
      <c r="E818" s="317"/>
      <c r="F818" s="317"/>
      <c r="G818" s="317"/>
    </row>
    <row r="819" spans="1:7" ht="18">
      <c r="A819" s="317"/>
      <c r="B819" s="317"/>
      <c r="C819" s="317"/>
      <c r="D819" s="317"/>
      <c r="E819" s="317"/>
      <c r="F819" s="317"/>
      <c r="G819" s="317"/>
    </row>
    <row r="820" spans="1:7" ht="18">
      <c r="A820" s="317"/>
      <c r="B820" s="317"/>
      <c r="C820" s="317"/>
      <c r="D820" s="317"/>
      <c r="E820" s="317"/>
      <c r="F820" s="317"/>
      <c r="G820" s="317"/>
    </row>
    <row r="821" spans="1:7" ht="18">
      <c r="A821" s="317"/>
      <c r="B821" s="317"/>
      <c r="C821" s="317"/>
      <c r="D821" s="317"/>
      <c r="E821" s="317"/>
      <c r="F821" s="317"/>
      <c r="G821" s="317"/>
    </row>
    <row r="822" spans="1:7" ht="18">
      <c r="A822" s="317"/>
      <c r="B822" s="317"/>
      <c r="C822" s="317"/>
      <c r="D822" s="317"/>
      <c r="E822" s="317"/>
      <c r="F822" s="317"/>
      <c r="G822" s="317"/>
    </row>
    <row r="823" spans="1:7" ht="18">
      <c r="A823" s="317"/>
      <c r="B823" s="317"/>
      <c r="C823" s="317"/>
      <c r="D823" s="317"/>
      <c r="E823" s="317"/>
      <c r="F823" s="317"/>
      <c r="G823" s="317"/>
    </row>
    <row r="824" spans="1:7" ht="18">
      <c r="A824" s="317"/>
      <c r="B824" s="317"/>
      <c r="C824" s="317"/>
      <c r="D824" s="317"/>
      <c r="E824" s="317"/>
      <c r="F824" s="317"/>
      <c r="G824" s="317"/>
    </row>
    <row r="825" spans="1:7" ht="18">
      <c r="A825" s="317"/>
      <c r="B825" s="317"/>
      <c r="C825" s="317"/>
      <c r="D825" s="317"/>
      <c r="E825" s="317"/>
      <c r="F825" s="317"/>
      <c r="G825" s="317"/>
    </row>
    <row r="826" spans="1:7" ht="18">
      <c r="A826" s="317"/>
      <c r="B826" s="317"/>
      <c r="C826" s="317"/>
      <c r="D826" s="317"/>
      <c r="E826" s="317"/>
      <c r="F826" s="317"/>
      <c r="G826" s="317"/>
    </row>
    <row r="827" spans="1:7" ht="18">
      <c r="A827" s="317"/>
      <c r="B827" s="317"/>
      <c r="C827" s="317"/>
      <c r="D827" s="317"/>
      <c r="E827" s="317"/>
      <c r="F827" s="317"/>
      <c r="G827" s="317"/>
    </row>
    <row r="828" spans="1:7" ht="18">
      <c r="A828" s="317"/>
      <c r="B828" s="317"/>
      <c r="C828" s="317"/>
      <c r="D828" s="317"/>
      <c r="E828" s="317"/>
      <c r="F828" s="317"/>
      <c r="G828" s="317"/>
    </row>
    <row r="829" spans="1:7" ht="18">
      <c r="A829" s="317"/>
      <c r="B829" s="317"/>
      <c r="C829" s="317"/>
      <c r="D829" s="317"/>
      <c r="E829" s="317"/>
      <c r="F829" s="317"/>
      <c r="G829" s="317"/>
    </row>
    <row r="830" spans="1:7" ht="18">
      <c r="A830" s="317"/>
      <c r="B830" s="317"/>
      <c r="C830" s="317"/>
      <c r="D830" s="317"/>
      <c r="E830" s="317"/>
      <c r="F830" s="317"/>
      <c r="G830" s="317"/>
    </row>
    <row r="831" spans="1:7" ht="18">
      <c r="A831" s="317"/>
      <c r="B831" s="317"/>
      <c r="C831" s="317"/>
      <c r="D831" s="317"/>
      <c r="E831" s="317"/>
      <c r="F831" s="317"/>
      <c r="G831" s="317"/>
    </row>
    <row r="832" spans="1:7" ht="18">
      <c r="A832" s="317"/>
      <c r="B832" s="317"/>
      <c r="C832" s="317"/>
      <c r="D832" s="317"/>
      <c r="E832" s="317"/>
      <c r="F832" s="317"/>
      <c r="G832" s="317"/>
    </row>
    <row r="833" spans="1:7" ht="18">
      <c r="A833" s="317"/>
      <c r="B833" s="317"/>
      <c r="C833" s="317"/>
      <c r="D833" s="317"/>
      <c r="E833" s="317"/>
      <c r="F833" s="317"/>
      <c r="G833" s="317"/>
    </row>
    <row r="834" spans="1:7" ht="18">
      <c r="A834" s="317"/>
      <c r="B834" s="317"/>
      <c r="C834" s="317"/>
      <c r="D834" s="317"/>
      <c r="E834" s="317"/>
      <c r="F834" s="317"/>
      <c r="G834" s="317"/>
    </row>
    <row r="835" spans="1:7" ht="18">
      <c r="A835" s="317"/>
      <c r="B835" s="317"/>
      <c r="C835" s="317"/>
      <c r="D835" s="317"/>
      <c r="E835" s="317"/>
      <c r="F835" s="317"/>
      <c r="G835" s="317"/>
    </row>
    <row r="836" spans="1:7" ht="18">
      <c r="A836" s="317"/>
      <c r="B836" s="317"/>
      <c r="C836" s="317"/>
      <c r="D836" s="317"/>
      <c r="E836" s="317"/>
      <c r="F836" s="317"/>
      <c r="G836" s="317"/>
    </row>
    <row r="837" spans="1:7" ht="18">
      <c r="A837" s="317"/>
      <c r="B837" s="317"/>
      <c r="C837" s="317"/>
      <c r="D837" s="317"/>
      <c r="E837" s="317"/>
      <c r="F837" s="317"/>
      <c r="G837" s="317"/>
    </row>
    <row r="838" spans="1:7" ht="18">
      <c r="A838" s="317"/>
      <c r="B838" s="317"/>
      <c r="C838" s="317"/>
      <c r="D838" s="317"/>
      <c r="E838" s="317"/>
      <c r="F838" s="317"/>
      <c r="G838" s="317"/>
    </row>
    <row r="839" spans="1:7" ht="18">
      <c r="A839" s="317"/>
      <c r="B839" s="317"/>
      <c r="C839" s="317"/>
      <c r="D839" s="317"/>
      <c r="E839" s="317"/>
      <c r="F839" s="317"/>
      <c r="G839" s="317"/>
    </row>
    <row r="840" spans="1:7" ht="18">
      <c r="A840" s="317"/>
      <c r="B840" s="317"/>
      <c r="C840" s="317"/>
      <c r="D840" s="317"/>
      <c r="E840" s="317"/>
      <c r="F840" s="317"/>
      <c r="G840" s="317"/>
    </row>
    <row r="841" spans="1:7" ht="18">
      <c r="A841" s="317"/>
      <c r="B841" s="317"/>
      <c r="C841" s="317"/>
      <c r="D841" s="317"/>
      <c r="E841" s="317"/>
      <c r="F841" s="317"/>
      <c r="G841" s="317"/>
    </row>
    <row r="842" spans="1:7" ht="18">
      <c r="A842" s="317"/>
      <c r="B842" s="317"/>
      <c r="C842" s="317"/>
      <c r="D842" s="317"/>
      <c r="E842" s="317"/>
      <c r="F842" s="317"/>
      <c r="G842" s="317"/>
    </row>
    <row r="843" spans="1:7" ht="18">
      <c r="A843" s="317"/>
      <c r="B843" s="317"/>
      <c r="C843" s="317"/>
      <c r="D843" s="317"/>
      <c r="E843" s="317"/>
      <c r="F843" s="317"/>
      <c r="G843" s="317"/>
    </row>
    <row r="844" spans="1:7" ht="18">
      <c r="A844" s="317"/>
      <c r="B844" s="317"/>
      <c r="C844" s="317"/>
      <c r="D844" s="317"/>
      <c r="E844" s="317"/>
      <c r="F844" s="317"/>
      <c r="G844" s="317"/>
    </row>
    <row r="845" spans="1:7" ht="18">
      <c r="A845" s="317"/>
      <c r="B845" s="317"/>
      <c r="C845" s="317"/>
      <c r="D845" s="317"/>
      <c r="E845" s="317"/>
      <c r="F845" s="317"/>
      <c r="G845" s="317"/>
    </row>
    <row r="846" spans="1:7" ht="18">
      <c r="A846" s="317"/>
      <c r="B846" s="317"/>
      <c r="C846" s="317"/>
      <c r="D846" s="317"/>
      <c r="E846" s="317"/>
      <c r="F846" s="317"/>
      <c r="G846" s="317"/>
    </row>
    <row r="847" spans="1:7" ht="18">
      <c r="A847" s="317"/>
      <c r="B847" s="317"/>
      <c r="C847" s="317"/>
      <c r="D847" s="317"/>
      <c r="E847" s="317"/>
      <c r="F847" s="317"/>
      <c r="G847" s="317"/>
    </row>
    <row r="848" spans="1:7" ht="18">
      <c r="A848" s="317"/>
      <c r="B848" s="317"/>
      <c r="C848" s="317"/>
      <c r="D848" s="317"/>
      <c r="E848" s="317"/>
      <c r="F848" s="317"/>
      <c r="G848" s="317"/>
    </row>
    <row r="849" spans="1:7" ht="18">
      <c r="A849" s="317"/>
      <c r="B849" s="317"/>
      <c r="C849" s="317"/>
      <c r="D849" s="317"/>
      <c r="E849" s="317"/>
      <c r="F849" s="317"/>
      <c r="G849" s="317"/>
    </row>
    <row r="850" spans="1:7" ht="18">
      <c r="A850" s="317"/>
      <c r="B850" s="317"/>
      <c r="C850" s="317"/>
      <c r="D850" s="317"/>
      <c r="E850" s="317"/>
      <c r="F850" s="317"/>
      <c r="G850" s="317"/>
    </row>
    <row r="851" spans="1:7" ht="18">
      <c r="A851" s="317"/>
      <c r="B851" s="317"/>
      <c r="C851" s="317"/>
      <c r="D851" s="317"/>
      <c r="E851" s="317"/>
      <c r="F851" s="317"/>
      <c r="G851" s="317"/>
    </row>
    <row r="852" spans="1:7" ht="18">
      <c r="A852" s="317"/>
      <c r="B852" s="317"/>
      <c r="C852" s="317"/>
      <c r="D852" s="317"/>
      <c r="E852" s="317"/>
      <c r="F852" s="317"/>
      <c r="G852" s="317"/>
    </row>
    <row r="853" spans="1:7" ht="18">
      <c r="A853" s="317"/>
      <c r="B853" s="317"/>
      <c r="C853" s="317"/>
      <c r="D853" s="317"/>
      <c r="E853" s="317"/>
      <c r="F853" s="317"/>
      <c r="G853" s="317"/>
    </row>
    <row r="854" spans="1:7" ht="18">
      <c r="A854" s="317"/>
      <c r="B854" s="317"/>
      <c r="C854" s="317"/>
      <c r="D854" s="317"/>
      <c r="E854" s="317"/>
      <c r="F854" s="317"/>
      <c r="G854" s="317"/>
    </row>
    <row r="855" spans="1:7" ht="18">
      <c r="A855" s="317"/>
      <c r="B855" s="317"/>
      <c r="C855" s="317"/>
      <c r="D855" s="317"/>
      <c r="E855" s="317"/>
      <c r="F855" s="317"/>
      <c r="G855" s="317"/>
    </row>
    <row r="856" spans="1:7" ht="18">
      <c r="A856" s="317"/>
      <c r="B856" s="317"/>
      <c r="C856" s="317"/>
      <c r="D856" s="317"/>
      <c r="E856" s="317"/>
      <c r="F856" s="317"/>
      <c r="G856" s="317"/>
    </row>
    <row r="857" spans="1:7" ht="18">
      <c r="A857" s="317"/>
      <c r="B857" s="317"/>
      <c r="C857" s="317"/>
      <c r="D857" s="317"/>
      <c r="E857" s="317"/>
      <c r="F857" s="317"/>
      <c r="G857" s="317"/>
    </row>
    <row r="858" spans="1:7" ht="18">
      <c r="A858" s="317"/>
      <c r="B858" s="317"/>
      <c r="C858" s="317"/>
      <c r="D858" s="317"/>
      <c r="E858" s="317"/>
      <c r="F858" s="317"/>
      <c r="G858" s="317"/>
    </row>
    <row r="859" spans="1:7" ht="18">
      <c r="A859" s="317"/>
      <c r="B859" s="317"/>
      <c r="C859" s="317"/>
      <c r="D859" s="317"/>
      <c r="E859" s="317"/>
      <c r="F859" s="317"/>
      <c r="G859" s="317"/>
    </row>
    <row r="860" spans="1:7" ht="18">
      <c r="A860" s="317"/>
      <c r="B860" s="317"/>
      <c r="C860" s="317"/>
      <c r="D860" s="317"/>
      <c r="E860" s="317"/>
      <c r="F860" s="317"/>
      <c r="G860" s="317"/>
    </row>
    <row r="861" spans="1:7" ht="18">
      <c r="A861" s="317"/>
      <c r="B861" s="317"/>
      <c r="C861" s="317"/>
      <c r="D861" s="317"/>
      <c r="E861" s="317"/>
      <c r="F861" s="317"/>
      <c r="G861" s="317"/>
    </row>
    <row r="862" spans="1:7" ht="18">
      <c r="A862" s="317"/>
      <c r="B862" s="317"/>
      <c r="C862" s="317"/>
      <c r="D862" s="317"/>
      <c r="E862" s="317"/>
      <c r="F862" s="317"/>
      <c r="G862" s="317"/>
    </row>
    <row r="863" spans="1:7" ht="18">
      <c r="A863" s="317"/>
      <c r="B863" s="317"/>
      <c r="C863" s="317"/>
      <c r="D863" s="317"/>
      <c r="E863" s="317"/>
      <c r="F863" s="317"/>
      <c r="G863" s="317"/>
    </row>
    <row r="864" spans="1:7" ht="18">
      <c r="A864" s="317"/>
      <c r="B864" s="317"/>
      <c r="C864" s="317"/>
      <c r="D864" s="317"/>
      <c r="E864" s="317"/>
      <c r="F864" s="317"/>
      <c r="G864" s="317"/>
    </row>
    <row r="865" spans="1:7" ht="18">
      <c r="A865" s="317"/>
      <c r="B865" s="317"/>
      <c r="C865" s="317"/>
      <c r="D865" s="317"/>
      <c r="E865" s="317"/>
      <c r="F865" s="317"/>
      <c r="G865" s="317"/>
    </row>
    <row r="866" spans="1:7" ht="18">
      <c r="A866" s="317"/>
      <c r="B866" s="317"/>
      <c r="C866" s="317"/>
      <c r="D866" s="317"/>
      <c r="E866" s="317"/>
      <c r="F866" s="317"/>
      <c r="G866" s="317"/>
    </row>
    <row r="867" spans="1:7" ht="18">
      <c r="A867" s="317"/>
      <c r="B867" s="317"/>
      <c r="C867" s="317"/>
      <c r="D867" s="317"/>
      <c r="E867" s="317"/>
      <c r="F867" s="317"/>
      <c r="G867" s="317"/>
    </row>
    <row r="868" spans="1:7" ht="18">
      <c r="A868" s="317"/>
      <c r="B868" s="317"/>
      <c r="C868" s="317"/>
      <c r="D868" s="317"/>
      <c r="E868" s="317"/>
      <c r="F868" s="317"/>
      <c r="G868" s="317"/>
    </row>
    <row r="869" spans="1:7" ht="18">
      <c r="A869" s="317"/>
      <c r="B869" s="317"/>
      <c r="C869" s="317"/>
      <c r="D869" s="317"/>
      <c r="E869" s="317"/>
      <c r="F869" s="317"/>
      <c r="G869" s="317"/>
    </row>
    <row r="870" spans="1:7" ht="18">
      <c r="A870" s="317"/>
      <c r="B870" s="317"/>
      <c r="C870" s="317"/>
      <c r="D870" s="317"/>
      <c r="E870" s="317"/>
      <c r="F870" s="317"/>
      <c r="G870" s="317"/>
    </row>
    <row r="871" spans="1:7" ht="18">
      <c r="A871" s="317"/>
      <c r="B871" s="317"/>
      <c r="C871" s="317"/>
      <c r="D871" s="317"/>
      <c r="E871" s="317"/>
      <c r="F871" s="317"/>
      <c r="G871" s="317"/>
    </row>
    <row r="872" spans="1:7" ht="18">
      <c r="A872" s="317"/>
      <c r="B872" s="317"/>
      <c r="C872" s="317"/>
      <c r="D872" s="317"/>
      <c r="E872" s="317"/>
      <c r="F872" s="317"/>
      <c r="G872" s="317"/>
    </row>
    <row r="873" spans="1:7" ht="18">
      <c r="A873" s="317"/>
      <c r="B873" s="317"/>
      <c r="C873" s="317"/>
      <c r="D873" s="317"/>
      <c r="E873" s="317"/>
      <c r="F873" s="317"/>
      <c r="G873" s="317"/>
    </row>
    <row r="874" spans="1:7" ht="18">
      <c r="A874" s="317"/>
      <c r="B874" s="317"/>
      <c r="C874" s="317"/>
      <c r="D874" s="317"/>
      <c r="E874" s="317"/>
      <c r="F874" s="317"/>
      <c r="G874" s="317"/>
    </row>
    <row r="875" spans="1:7" ht="18">
      <c r="A875" s="317"/>
      <c r="B875" s="317"/>
      <c r="C875" s="317"/>
      <c r="D875" s="317"/>
      <c r="E875" s="317"/>
      <c r="F875" s="317"/>
      <c r="G875" s="317"/>
    </row>
    <row r="876" spans="1:7" ht="18">
      <c r="A876" s="317"/>
      <c r="B876" s="317"/>
      <c r="C876" s="317"/>
      <c r="D876" s="317"/>
      <c r="E876" s="317"/>
      <c r="F876" s="317"/>
      <c r="G876" s="317"/>
    </row>
    <row r="877" spans="1:7" ht="18">
      <c r="A877" s="317"/>
      <c r="B877" s="317"/>
      <c r="C877" s="317"/>
      <c r="D877" s="317"/>
      <c r="E877" s="317"/>
      <c r="F877" s="317"/>
      <c r="G877" s="317"/>
    </row>
    <row r="878" spans="1:7" ht="18">
      <c r="A878" s="317"/>
      <c r="B878" s="317"/>
      <c r="C878" s="317"/>
      <c r="D878" s="317"/>
      <c r="E878" s="317"/>
      <c r="F878" s="317"/>
      <c r="G878" s="317"/>
    </row>
    <row r="879" spans="1:7" ht="18">
      <c r="A879" s="317"/>
      <c r="B879" s="317"/>
      <c r="C879" s="317"/>
      <c r="D879" s="317"/>
      <c r="E879" s="317"/>
      <c r="F879" s="317"/>
      <c r="G879" s="317"/>
    </row>
    <row r="880" spans="1:7" ht="18">
      <c r="A880" s="317"/>
      <c r="B880" s="317"/>
      <c r="C880" s="317"/>
      <c r="D880" s="317"/>
      <c r="E880" s="317"/>
      <c r="F880" s="317"/>
      <c r="G880" s="317"/>
    </row>
    <row r="881" spans="1:7" ht="18">
      <c r="A881" s="317"/>
      <c r="B881" s="317"/>
      <c r="C881" s="317"/>
      <c r="D881" s="317"/>
      <c r="E881" s="317"/>
      <c r="F881" s="317"/>
      <c r="G881" s="317"/>
    </row>
    <row r="882" spans="1:7" ht="18">
      <c r="A882" s="317"/>
      <c r="B882" s="317"/>
      <c r="C882" s="317"/>
      <c r="D882" s="317"/>
      <c r="E882" s="317"/>
      <c r="F882" s="317"/>
      <c r="G882" s="317"/>
    </row>
    <row r="883" spans="1:7" ht="18">
      <c r="A883" s="317"/>
      <c r="B883" s="317"/>
      <c r="C883" s="317"/>
      <c r="D883" s="317"/>
      <c r="E883" s="317"/>
      <c r="F883" s="317"/>
      <c r="G883" s="317"/>
    </row>
    <row r="884" spans="1:7" ht="18">
      <c r="A884" s="317"/>
      <c r="B884" s="317"/>
      <c r="C884" s="317"/>
      <c r="D884" s="317"/>
      <c r="E884" s="317"/>
      <c r="F884" s="317"/>
      <c r="G884" s="317"/>
    </row>
    <row r="885" spans="1:7" ht="18">
      <c r="A885" s="317"/>
      <c r="B885" s="317"/>
      <c r="C885" s="317"/>
      <c r="D885" s="317"/>
      <c r="E885" s="317"/>
      <c r="F885" s="317"/>
      <c r="G885" s="317"/>
    </row>
    <row r="886" spans="1:7" ht="18">
      <c r="A886" s="317"/>
      <c r="B886" s="317"/>
      <c r="C886" s="317"/>
      <c r="D886" s="317"/>
      <c r="E886" s="317"/>
      <c r="F886" s="317"/>
      <c r="G886" s="317"/>
    </row>
    <row r="887" spans="1:7" ht="18">
      <c r="A887" s="317"/>
      <c r="B887" s="317"/>
      <c r="C887" s="317"/>
      <c r="D887" s="317"/>
      <c r="E887" s="317"/>
      <c r="F887" s="317"/>
      <c r="G887" s="317"/>
    </row>
    <row r="888" spans="1:7" ht="18">
      <c r="A888" s="317"/>
      <c r="B888" s="317"/>
      <c r="C888" s="317"/>
      <c r="D888" s="317"/>
      <c r="E888" s="317"/>
      <c r="F888" s="317"/>
      <c r="G888" s="317"/>
    </row>
    <row r="889" spans="1:7" ht="18">
      <c r="A889" s="317"/>
      <c r="B889" s="317"/>
      <c r="C889" s="317"/>
      <c r="D889" s="317"/>
      <c r="E889" s="317"/>
      <c r="F889" s="317"/>
      <c r="G889" s="317"/>
    </row>
    <row r="890" spans="1:7" ht="18">
      <c r="A890" s="317"/>
      <c r="B890" s="317"/>
      <c r="C890" s="317"/>
      <c r="D890" s="317"/>
      <c r="E890" s="317"/>
      <c r="F890" s="317"/>
      <c r="G890" s="317"/>
    </row>
    <row r="891" spans="1:7" ht="18">
      <c r="A891" s="317"/>
      <c r="B891" s="317"/>
      <c r="C891" s="317"/>
      <c r="D891" s="317"/>
      <c r="E891" s="317"/>
      <c r="F891" s="317"/>
      <c r="G891" s="317"/>
    </row>
    <row r="892" spans="1:7" ht="18">
      <c r="A892" s="317"/>
      <c r="B892" s="317"/>
      <c r="C892" s="317"/>
      <c r="D892" s="317"/>
      <c r="E892" s="317"/>
      <c r="F892" s="317"/>
      <c r="G892" s="317"/>
    </row>
    <row r="893" spans="1:7" ht="18">
      <c r="A893" s="317"/>
      <c r="B893" s="317"/>
      <c r="C893" s="317"/>
      <c r="D893" s="317"/>
      <c r="E893" s="317"/>
      <c r="F893" s="317"/>
      <c r="G893" s="317"/>
    </row>
    <row r="894" spans="1:7" ht="18">
      <c r="A894" s="317"/>
      <c r="B894" s="317"/>
      <c r="C894" s="317"/>
      <c r="D894" s="317"/>
      <c r="E894" s="317"/>
      <c r="F894" s="317"/>
      <c r="G894" s="317"/>
    </row>
    <row r="895" spans="1:7" ht="18">
      <c r="A895" s="317"/>
      <c r="B895" s="317"/>
      <c r="C895" s="317"/>
      <c r="D895" s="317"/>
      <c r="E895" s="317"/>
      <c r="F895" s="317"/>
      <c r="G895" s="317"/>
    </row>
    <row r="896" spans="1:7" ht="18">
      <c r="A896" s="317"/>
      <c r="B896" s="317"/>
      <c r="C896" s="317"/>
      <c r="D896" s="317"/>
      <c r="E896" s="317"/>
      <c r="F896" s="317"/>
      <c r="G896" s="317"/>
    </row>
    <row r="897" spans="1:7" ht="18">
      <c r="A897" s="317"/>
      <c r="B897" s="317"/>
      <c r="C897" s="317"/>
      <c r="D897" s="317"/>
      <c r="E897" s="317"/>
      <c r="F897" s="317"/>
      <c r="G897" s="317"/>
    </row>
    <row r="898" spans="1:7" ht="18">
      <c r="A898" s="317"/>
      <c r="B898" s="317"/>
      <c r="C898" s="317"/>
      <c r="D898" s="317"/>
      <c r="E898" s="317"/>
      <c r="F898" s="317"/>
      <c r="G898" s="317"/>
    </row>
    <row r="899" spans="1:7" ht="18">
      <c r="A899" s="317"/>
      <c r="B899" s="317"/>
      <c r="C899" s="317"/>
      <c r="D899" s="317"/>
      <c r="E899" s="317"/>
      <c r="F899" s="317"/>
      <c r="G899" s="317"/>
    </row>
    <row r="900" spans="1:7" ht="18">
      <c r="A900" s="317"/>
      <c r="B900" s="317"/>
      <c r="C900" s="317"/>
      <c r="D900" s="317"/>
      <c r="E900" s="317"/>
      <c r="F900" s="317"/>
      <c r="G900" s="317"/>
    </row>
    <row r="901" spans="1:7" ht="18">
      <c r="A901" s="317"/>
      <c r="B901" s="317"/>
      <c r="C901" s="317"/>
      <c r="D901" s="317"/>
      <c r="E901" s="317"/>
      <c r="F901" s="317"/>
      <c r="G901" s="317"/>
    </row>
    <row r="902" spans="1:7" ht="18">
      <c r="A902" s="317"/>
      <c r="B902" s="317"/>
      <c r="C902" s="317"/>
      <c r="D902" s="317"/>
      <c r="E902" s="317"/>
      <c r="F902" s="317"/>
      <c r="G902" s="317"/>
    </row>
    <row r="903" spans="1:7" ht="18">
      <c r="A903" s="317"/>
      <c r="B903" s="317"/>
      <c r="C903" s="317"/>
      <c r="D903" s="317"/>
      <c r="E903" s="317"/>
      <c r="F903" s="317"/>
      <c r="G903" s="317"/>
    </row>
    <row r="904" spans="1:7" ht="18">
      <c r="A904" s="317"/>
      <c r="B904" s="317"/>
      <c r="C904" s="317"/>
      <c r="D904" s="317"/>
      <c r="E904" s="317"/>
      <c r="F904" s="317"/>
      <c r="G904" s="317"/>
    </row>
    <row r="905" spans="1:7" ht="18">
      <c r="A905" s="317"/>
      <c r="B905" s="317"/>
      <c r="C905" s="317"/>
      <c r="D905" s="317"/>
      <c r="E905" s="317"/>
      <c r="F905" s="317"/>
      <c r="G905" s="317"/>
    </row>
    <row r="906" spans="1:7" ht="18">
      <c r="A906" s="317"/>
      <c r="B906" s="317"/>
      <c r="C906" s="317"/>
      <c r="D906" s="317"/>
      <c r="E906" s="317"/>
      <c r="F906" s="317"/>
      <c r="G906" s="317"/>
    </row>
    <row r="907" spans="1:7" ht="18">
      <c r="A907" s="317"/>
      <c r="B907" s="317"/>
      <c r="C907" s="317"/>
      <c r="D907" s="317"/>
      <c r="E907" s="317"/>
      <c r="F907" s="317"/>
      <c r="G907" s="317"/>
    </row>
    <row r="908" spans="1:7" ht="18">
      <c r="A908" s="317"/>
      <c r="B908" s="317"/>
      <c r="C908" s="317"/>
      <c r="D908" s="317"/>
      <c r="E908" s="317"/>
      <c r="F908" s="317"/>
      <c r="G908" s="317"/>
    </row>
    <row r="909" spans="1:7" ht="18">
      <c r="A909" s="317"/>
      <c r="B909" s="317"/>
      <c r="C909" s="317"/>
      <c r="D909" s="317"/>
      <c r="E909" s="317"/>
      <c r="F909" s="317"/>
      <c r="G909" s="317"/>
    </row>
    <row r="910" spans="1:7" ht="18">
      <c r="A910" s="317"/>
      <c r="B910" s="317"/>
      <c r="C910" s="317"/>
      <c r="D910" s="317"/>
      <c r="E910" s="317"/>
      <c r="F910" s="317"/>
      <c r="G910" s="317"/>
    </row>
    <row r="911" spans="1:7" ht="18">
      <c r="A911" s="317"/>
      <c r="B911" s="317"/>
      <c r="C911" s="317"/>
      <c r="D911" s="317"/>
      <c r="E911" s="317"/>
      <c r="F911" s="317"/>
      <c r="G911" s="317"/>
    </row>
    <row r="912" spans="1:7" ht="18">
      <c r="A912" s="317"/>
      <c r="B912" s="317"/>
      <c r="C912" s="317"/>
      <c r="D912" s="317"/>
      <c r="E912" s="317"/>
      <c r="F912" s="317"/>
      <c r="G912" s="317"/>
    </row>
    <row r="913" spans="1:7" ht="18">
      <c r="A913" s="317"/>
      <c r="B913" s="317"/>
      <c r="C913" s="317"/>
      <c r="D913" s="317"/>
      <c r="E913" s="317"/>
      <c r="F913" s="317"/>
      <c r="G913" s="317"/>
    </row>
    <row r="914" spans="1:7" ht="18">
      <c r="A914" s="317"/>
      <c r="B914" s="317"/>
      <c r="C914" s="317"/>
      <c r="D914" s="317"/>
      <c r="E914" s="317"/>
      <c r="F914" s="317"/>
      <c r="G914" s="317"/>
    </row>
    <row r="915" spans="1:7" ht="18">
      <c r="A915" s="317"/>
      <c r="B915" s="317"/>
      <c r="C915" s="317"/>
      <c r="D915" s="317"/>
      <c r="E915" s="317"/>
      <c r="F915" s="317"/>
      <c r="G915" s="317"/>
    </row>
    <row r="916" spans="1:7" ht="18">
      <c r="A916" s="317"/>
      <c r="B916" s="317"/>
      <c r="C916" s="317"/>
      <c r="D916" s="317"/>
      <c r="E916" s="317"/>
      <c r="F916" s="317"/>
      <c r="G916" s="317"/>
    </row>
    <row r="917" spans="1:7" ht="18">
      <c r="A917" s="317"/>
      <c r="B917" s="317"/>
      <c r="C917" s="317"/>
      <c r="D917" s="317"/>
      <c r="E917" s="317"/>
      <c r="F917" s="317"/>
      <c r="G917" s="317"/>
    </row>
    <row r="918" spans="1:7" ht="18">
      <c r="A918" s="317"/>
      <c r="B918" s="317"/>
      <c r="C918" s="317"/>
      <c r="D918" s="317"/>
      <c r="E918" s="317"/>
      <c r="F918" s="317"/>
      <c r="G918" s="317"/>
    </row>
    <row r="919" spans="1:7" ht="18">
      <c r="A919" s="317"/>
      <c r="B919" s="317"/>
      <c r="C919" s="317"/>
      <c r="D919" s="317"/>
      <c r="E919" s="317"/>
      <c r="F919" s="317"/>
      <c r="G919" s="317"/>
    </row>
    <row r="920" spans="1:7" ht="18">
      <c r="A920" s="317"/>
      <c r="B920" s="317"/>
      <c r="C920" s="317"/>
      <c r="D920" s="317"/>
      <c r="E920" s="317"/>
      <c r="F920" s="317"/>
      <c r="G920" s="317"/>
    </row>
    <row r="921" spans="1:7" ht="18">
      <c r="A921" s="317"/>
      <c r="B921" s="317"/>
      <c r="C921" s="317"/>
      <c r="D921" s="317"/>
      <c r="E921" s="317"/>
      <c r="F921" s="317"/>
      <c r="G921" s="317"/>
    </row>
    <row r="922" spans="1:7" ht="18">
      <c r="A922" s="317"/>
      <c r="B922" s="317"/>
      <c r="C922" s="317"/>
      <c r="D922" s="317"/>
      <c r="E922" s="317"/>
      <c r="F922" s="317"/>
      <c r="G922" s="317"/>
    </row>
    <row r="923" spans="1:7" ht="18">
      <c r="A923" s="317"/>
      <c r="B923" s="317"/>
      <c r="C923" s="317"/>
      <c r="D923" s="317"/>
      <c r="E923" s="317"/>
      <c r="F923" s="317"/>
      <c r="G923" s="317"/>
    </row>
    <row r="924" spans="1:7" ht="18">
      <c r="A924" s="317"/>
      <c r="B924" s="317"/>
      <c r="C924" s="317"/>
      <c r="D924" s="317"/>
      <c r="E924" s="317"/>
      <c r="F924" s="317"/>
      <c r="G924" s="317"/>
    </row>
    <row r="925" spans="1:7" ht="18">
      <c r="A925" s="317"/>
      <c r="B925" s="317"/>
      <c r="C925" s="317"/>
      <c r="D925" s="317"/>
      <c r="E925" s="317"/>
      <c r="F925" s="317"/>
      <c r="G925" s="317"/>
    </row>
    <row r="926" spans="1:7" ht="18">
      <c r="A926" s="317"/>
      <c r="B926" s="317"/>
      <c r="C926" s="317"/>
      <c r="D926" s="317"/>
      <c r="E926" s="317"/>
      <c r="F926" s="317"/>
      <c r="G926" s="317"/>
    </row>
    <row r="927" spans="1:7" ht="18">
      <c r="A927" s="317"/>
      <c r="B927" s="317"/>
      <c r="C927" s="317"/>
      <c r="D927" s="317"/>
      <c r="E927" s="317"/>
      <c r="F927" s="317"/>
      <c r="G927" s="317"/>
    </row>
    <row r="928" spans="1:7" ht="18">
      <c r="A928" s="317"/>
      <c r="B928" s="317"/>
      <c r="C928" s="317"/>
      <c r="D928" s="317"/>
      <c r="E928" s="317"/>
      <c r="F928" s="317"/>
      <c r="G928" s="317"/>
    </row>
    <row r="929" spans="1:7" ht="18">
      <c r="A929" s="317"/>
      <c r="B929" s="317"/>
      <c r="C929" s="317"/>
      <c r="D929" s="317"/>
      <c r="E929" s="317"/>
      <c r="F929" s="317"/>
      <c r="G929" s="317"/>
    </row>
    <row r="930" spans="1:7" ht="18">
      <c r="A930" s="317"/>
      <c r="B930" s="317"/>
      <c r="C930" s="317"/>
      <c r="D930" s="317"/>
      <c r="E930" s="317"/>
      <c r="F930" s="317"/>
      <c r="G930" s="317"/>
    </row>
    <row r="931" spans="1:7" ht="18">
      <c r="A931" s="317"/>
      <c r="B931" s="317"/>
      <c r="C931" s="317"/>
      <c r="D931" s="317"/>
      <c r="E931" s="317"/>
      <c r="F931" s="317"/>
      <c r="G931" s="317"/>
    </row>
    <row r="932" spans="1:7" ht="18">
      <c r="A932" s="317"/>
      <c r="B932" s="317"/>
      <c r="C932" s="317"/>
      <c r="D932" s="317"/>
      <c r="E932" s="317"/>
      <c r="F932" s="317"/>
      <c r="G932" s="317"/>
    </row>
    <row r="933" spans="1:7" ht="18">
      <c r="A933" s="317"/>
      <c r="B933" s="317"/>
      <c r="C933" s="317"/>
      <c r="D933" s="317"/>
      <c r="E933" s="317"/>
      <c r="F933" s="317"/>
      <c r="G933" s="317"/>
    </row>
    <row r="934" spans="1:7" ht="18">
      <c r="A934" s="317"/>
      <c r="B934" s="317"/>
      <c r="C934" s="317"/>
      <c r="D934" s="317"/>
      <c r="E934" s="317"/>
      <c r="F934" s="317"/>
      <c r="G934" s="317"/>
    </row>
    <row r="935" spans="1:7" ht="18">
      <c r="A935" s="317"/>
      <c r="B935" s="317"/>
      <c r="C935" s="317"/>
      <c r="D935" s="317"/>
      <c r="E935" s="317"/>
      <c r="F935" s="317"/>
      <c r="G935" s="317"/>
    </row>
    <row r="936" spans="1:7" ht="18">
      <c r="A936" s="317"/>
      <c r="B936" s="317"/>
      <c r="C936" s="317"/>
      <c r="D936" s="317"/>
      <c r="E936" s="317"/>
      <c r="F936" s="317"/>
      <c r="G936" s="317"/>
    </row>
    <row r="937" spans="1:7" ht="18">
      <c r="A937" s="317"/>
      <c r="B937" s="317"/>
      <c r="C937" s="317"/>
      <c r="D937" s="317"/>
      <c r="E937" s="317"/>
      <c r="F937" s="317"/>
      <c r="G937" s="317"/>
    </row>
    <row r="938" spans="1:7" ht="18">
      <c r="A938" s="317"/>
      <c r="B938" s="317"/>
      <c r="C938" s="317"/>
      <c r="D938" s="317"/>
      <c r="E938" s="317"/>
      <c r="F938" s="317"/>
      <c r="G938" s="317"/>
    </row>
    <row r="939" spans="1:7" ht="18">
      <c r="A939" s="317"/>
      <c r="B939" s="317"/>
      <c r="C939" s="317"/>
      <c r="D939" s="317"/>
      <c r="E939" s="317"/>
      <c r="F939" s="317"/>
      <c r="G939" s="317"/>
    </row>
    <row r="940" spans="1:7" ht="18">
      <c r="A940" s="317"/>
      <c r="B940" s="317"/>
      <c r="C940" s="317"/>
      <c r="D940" s="317"/>
      <c r="E940" s="317"/>
      <c r="F940" s="317"/>
      <c r="G940" s="317"/>
    </row>
    <row r="941" spans="1:7" ht="18">
      <c r="A941" s="317"/>
      <c r="B941" s="317"/>
      <c r="C941" s="317"/>
      <c r="D941" s="317"/>
      <c r="E941" s="317"/>
      <c r="F941" s="317"/>
      <c r="G941" s="317"/>
    </row>
    <row r="942" spans="1:7" ht="18">
      <c r="A942" s="317"/>
      <c r="B942" s="317"/>
      <c r="C942" s="317"/>
      <c r="D942" s="317"/>
      <c r="E942" s="317"/>
      <c r="F942" s="317"/>
      <c r="G942" s="317"/>
    </row>
    <row r="943" spans="1:7" ht="18">
      <c r="A943" s="317"/>
      <c r="B943" s="317"/>
      <c r="C943" s="317"/>
      <c r="D943" s="317"/>
      <c r="E943" s="317"/>
      <c r="F943" s="317"/>
      <c r="G943" s="317"/>
    </row>
    <row r="944" spans="1:7" ht="18">
      <c r="A944" s="317"/>
      <c r="B944" s="317"/>
      <c r="C944" s="317"/>
      <c r="D944" s="317"/>
      <c r="E944" s="317"/>
      <c r="F944" s="317"/>
      <c r="G944" s="317"/>
    </row>
    <row r="945" spans="1:7" ht="18">
      <c r="A945" s="317"/>
      <c r="B945" s="317"/>
      <c r="C945" s="317"/>
      <c r="D945" s="317"/>
      <c r="E945" s="317"/>
      <c r="F945" s="317"/>
      <c r="G945" s="317"/>
    </row>
    <row r="946" spans="1:7" ht="18">
      <c r="A946" s="317"/>
      <c r="B946" s="317"/>
      <c r="C946" s="317"/>
      <c r="D946" s="317"/>
      <c r="E946" s="317"/>
      <c r="F946" s="317"/>
      <c r="G946" s="317"/>
    </row>
    <row r="947" spans="1:7" ht="18">
      <c r="A947" s="317"/>
      <c r="B947" s="317"/>
      <c r="C947" s="317"/>
      <c r="D947" s="317"/>
      <c r="E947" s="317"/>
      <c r="F947" s="317"/>
      <c r="G947" s="317"/>
    </row>
    <row r="948" spans="1:7" ht="18">
      <c r="A948" s="317"/>
      <c r="B948" s="317"/>
      <c r="C948" s="317"/>
      <c r="D948" s="317"/>
      <c r="E948" s="317"/>
      <c r="F948" s="317"/>
      <c r="G948" s="317"/>
    </row>
    <row r="949" spans="1:7" ht="18">
      <c r="A949" s="317"/>
      <c r="B949" s="317"/>
      <c r="C949" s="317"/>
      <c r="D949" s="317"/>
      <c r="E949" s="317"/>
      <c r="F949" s="317"/>
      <c r="G949" s="317"/>
    </row>
    <row r="950" spans="1:7" ht="18">
      <c r="A950" s="317"/>
      <c r="B950" s="317"/>
      <c r="C950" s="317"/>
      <c r="D950" s="317"/>
      <c r="E950" s="317"/>
      <c r="F950" s="317"/>
      <c r="G950" s="317"/>
    </row>
    <row r="951" spans="1:7" ht="18">
      <c r="A951" s="317"/>
      <c r="B951" s="317"/>
      <c r="C951" s="317"/>
      <c r="D951" s="317"/>
      <c r="E951" s="317"/>
      <c r="F951" s="317"/>
      <c r="G951" s="317"/>
    </row>
    <row r="952" spans="1:7" ht="18">
      <c r="A952" s="317"/>
      <c r="B952" s="317"/>
      <c r="C952" s="317"/>
      <c r="D952" s="317"/>
      <c r="E952" s="317"/>
      <c r="F952" s="317"/>
      <c r="G952" s="317"/>
    </row>
    <row r="953" spans="1:7" ht="18">
      <c r="A953" s="317"/>
      <c r="B953" s="317"/>
      <c r="C953" s="317"/>
      <c r="D953" s="317"/>
      <c r="E953" s="317"/>
      <c r="F953" s="317"/>
      <c r="G953" s="317"/>
    </row>
    <row r="954" spans="1:7" ht="18">
      <c r="A954" s="317"/>
      <c r="B954" s="317"/>
      <c r="C954" s="317"/>
      <c r="D954" s="317"/>
      <c r="E954" s="317"/>
      <c r="F954" s="317"/>
      <c r="G954" s="317"/>
    </row>
    <row r="955" spans="1:7" ht="18">
      <c r="A955" s="317"/>
      <c r="B955" s="317"/>
      <c r="C955" s="317"/>
      <c r="D955" s="317"/>
      <c r="E955" s="317"/>
      <c r="F955" s="317"/>
      <c r="G955" s="317"/>
    </row>
    <row r="956" spans="1:7" ht="18">
      <c r="A956" s="317"/>
      <c r="B956" s="317"/>
      <c r="C956" s="317"/>
      <c r="D956" s="317"/>
      <c r="E956" s="317"/>
      <c r="F956" s="317"/>
      <c r="G956" s="317"/>
    </row>
    <row r="957" spans="1:7" ht="18">
      <c r="A957" s="317"/>
      <c r="B957" s="317"/>
      <c r="C957" s="317"/>
      <c r="D957" s="317"/>
      <c r="E957" s="317"/>
      <c r="F957" s="317"/>
      <c r="G957" s="317"/>
    </row>
    <row r="958" spans="1:7" ht="18">
      <c r="A958" s="317"/>
      <c r="B958" s="317"/>
      <c r="C958" s="317"/>
      <c r="D958" s="317"/>
      <c r="E958" s="317"/>
      <c r="F958" s="317"/>
      <c r="G958" s="317"/>
    </row>
    <row r="959" spans="1:7" ht="18">
      <c r="A959" s="317"/>
      <c r="B959" s="317"/>
      <c r="C959" s="317"/>
      <c r="D959" s="317"/>
      <c r="E959" s="317"/>
      <c r="F959" s="317"/>
      <c r="G959" s="317"/>
    </row>
    <row r="960" spans="1:7" ht="18">
      <c r="A960" s="317"/>
      <c r="B960" s="317"/>
      <c r="C960" s="317"/>
      <c r="D960" s="317"/>
      <c r="E960" s="317"/>
      <c r="F960" s="317"/>
      <c r="G960" s="317"/>
    </row>
    <row r="961" spans="1:7" ht="18">
      <c r="A961" s="317"/>
      <c r="B961" s="317"/>
      <c r="C961" s="317"/>
      <c r="D961" s="317"/>
      <c r="E961" s="317"/>
      <c r="F961" s="317"/>
      <c r="G961" s="317"/>
    </row>
    <row r="962" spans="1:7" ht="18">
      <c r="A962" s="317"/>
      <c r="B962" s="317"/>
      <c r="C962" s="317"/>
      <c r="D962" s="317"/>
      <c r="E962" s="317"/>
      <c r="F962" s="317"/>
      <c r="G962" s="317"/>
    </row>
    <row r="963" spans="1:7" ht="18">
      <c r="A963" s="317"/>
      <c r="B963" s="317"/>
      <c r="C963" s="317"/>
      <c r="D963" s="317"/>
      <c r="E963" s="317"/>
      <c r="F963" s="317"/>
      <c r="G963" s="317"/>
    </row>
    <row r="964" spans="1:7" ht="18">
      <c r="A964" s="317"/>
      <c r="B964" s="317"/>
      <c r="C964" s="317"/>
      <c r="D964" s="317"/>
      <c r="E964" s="317"/>
      <c r="F964" s="317"/>
      <c r="G964" s="317"/>
    </row>
    <row r="965" spans="1:7" ht="18">
      <c r="A965" s="317"/>
      <c r="B965" s="317"/>
      <c r="C965" s="317"/>
      <c r="D965" s="317"/>
      <c r="E965" s="317"/>
      <c r="F965" s="317"/>
      <c r="G965" s="317"/>
    </row>
    <row r="966" spans="1:7" ht="18">
      <c r="A966" s="317"/>
      <c r="B966" s="317"/>
      <c r="C966" s="317"/>
      <c r="D966" s="317"/>
      <c r="E966" s="317"/>
      <c r="F966" s="317"/>
      <c r="G966" s="317"/>
    </row>
    <row r="967" spans="1:7" ht="18">
      <c r="A967" s="317"/>
      <c r="B967" s="317"/>
      <c r="C967" s="317"/>
      <c r="D967" s="317"/>
      <c r="E967" s="317"/>
      <c r="F967" s="317"/>
      <c r="G967" s="317"/>
    </row>
    <row r="968" spans="1:7" ht="18">
      <c r="A968" s="317"/>
      <c r="B968" s="317"/>
      <c r="C968" s="317"/>
      <c r="D968" s="317"/>
      <c r="E968" s="317"/>
      <c r="F968" s="317"/>
      <c r="G968" s="317"/>
    </row>
    <row r="969" spans="1:7" ht="18">
      <c r="A969" s="317"/>
      <c r="B969" s="317"/>
      <c r="C969" s="317"/>
      <c r="D969" s="317"/>
      <c r="E969" s="317"/>
      <c r="F969" s="317"/>
      <c r="G969" s="317"/>
    </row>
    <row r="970" spans="1:7" ht="18">
      <c r="A970" s="317"/>
      <c r="B970" s="317"/>
      <c r="C970" s="317"/>
      <c r="D970" s="317"/>
      <c r="E970" s="317"/>
      <c r="F970" s="317"/>
      <c r="G970" s="317"/>
    </row>
    <row r="971" spans="1:7" ht="18">
      <c r="A971" s="317"/>
      <c r="B971" s="317"/>
      <c r="C971" s="317"/>
      <c r="D971" s="317"/>
      <c r="E971" s="317"/>
      <c r="F971" s="317"/>
      <c r="G971" s="317"/>
    </row>
    <row r="972" spans="1:7" ht="18">
      <c r="A972" s="317"/>
      <c r="B972" s="317"/>
      <c r="C972" s="317"/>
      <c r="D972" s="317"/>
      <c r="E972" s="317"/>
      <c r="F972" s="317"/>
      <c r="G972" s="317"/>
    </row>
    <row r="973" spans="1:7" ht="18">
      <c r="A973" s="317"/>
      <c r="B973" s="317"/>
      <c r="C973" s="317"/>
      <c r="D973" s="317"/>
      <c r="E973" s="317"/>
      <c r="F973" s="317"/>
      <c r="G973" s="317"/>
    </row>
    <row r="974" spans="1:7" ht="18">
      <c r="A974" s="317"/>
      <c r="B974" s="317"/>
      <c r="C974" s="317"/>
      <c r="D974" s="317"/>
      <c r="E974" s="317"/>
      <c r="F974" s="317"/>
      <c r="G974" s="317"/>
    </row>
    <row r="975" spans="1:7" ht="18">
      <c r="A975" s="317"/>
      <c r="B975" s="317"/>
      <c r="C975" s="317"/>
      <c r="D975" s="317"/>
      <c r="E975" s="317"/>
      <c r="F975" s="317"/>
      <c r="G975" s="317"/>
    </row>
    <row r="976" spans="1:7" ht="18">
      <c r="A976" s="317"/>
      <c r="B976" s="317"/>
      <c r="C976" s="317"/>
      <c r="D976" s="317"/>
      <c r="E976" s="317"/>
      <c r="F976" s="317"/>
      <c r="G976" s="317"/>
    </row>
    <row r="977" spans="1:7" ht="18">
      <c r="A977" s="317"/>
      <c r="B977" s="317"/>
      <c r="C977" s="317"/>
      <c r="D977" s="317"/>
      <c r="E977" s="317"/>
      <c r="F977" s="317"/>
      <c r="G977" s="317"/>
    </row>
    <row r="978" spans="1:7" ht="18">
      <c r="A978" s="317"/>
      <c r="B978" s="317"/>
      <c r="C978" s="317"/>
      <c r="D978" s="317"/>
      <c r="E978" s="317"/>
      <c r="F978" s="317"/>
      <c r="G978" s="317"/>
    </row>
    <row r="979" spans="1:7" ht="18">
      <c r="A979" s="317"/>
      <c r="B979" s="317"/>
      <c r="C979" s="317"/>
      <c r="D979" s="317"/>
      <c r="E979" s="317"/>
      <c r="F979" s="317"/>
      <c r="G979" s="317"/>
    </row>
    <row r="980" spans="1:7" ht="18">
      <c r="A980" s="317"/>
      <c r="B980" s="317"/>
      <c r="C980" s="317"/>
      <c r="D980" s="317"/>
      <c r="E980" s="317"/>
      <c r="F980" s="317"/>
      <c r="G980" s="317"/>
    </row>
    <row r="981" spans="1:7" ht="18">
      <c r="A981" s="317"/>
      <c r="B981" s="317"/>
      <c r="C981" s="317"/>
      <c r="D981" s="317"/>
      <c r="E981" s="317"/>
      <c r="F981" s="317"/>
      <c r="G981" s="317"/>
    </row>
    <row r="982" spans="1:7" ht="18">
      <c r="A982" s="317"/>
      <c r="B982" s="317"/>
      <c r="C982" s="317"/>
      <c r="D982" s="317"/>
      <c r="E982" s="317"/>
      <c r="F982" s="317"/>
      <c r="G982" s="317"/>
    </row>
    <row r="983" spans="1:7" ht="18">
      <c r="A983" s="317"/>
      <c r="B983" s="317"/>
      <c r="C983" s="317"/>
      <c r="D983" s="317"/>
      <c r="E983" s="317"/>
      <c r="F983" s="317"/>
      <c r="G983" s="317"/>
    </row>
    <row r="984" spans="1:7" ht="18">
      <c r="A984" s="317"/>
      <c r="B984" s="317"/>
      <c r="C984" s="317"/>
      <c r="D984" s="317"/>
      <c r="E984" s="317"/>
      <c r="F984" s="317"/>
      <c r="G984" s="317"/>
    </row>
    <row r="985" spans="1:7" ht="18">
      <c r="A985" s="317"/>
      <c r="B985" s="317"/>
      <c r="C985" s="317"/>
      <c r="D985" s="317"/>
      <c r="E985" s="317"/>
      <c r="F985" s="317"/>
      <c r="G985" s="317"/>
    </row>
    <row r="986" spans="1:7" ht="18">
      <c r="A986" s="317"/>
      <c r="B986" s="317"/>
      <c r="C986" s="317"/>
      <c r="D986" s="317"/>
      <c r="E986" s="317"/>
      <c r="F986" s="317"/>
      <c r="G986" s="317"/>
    </row>
    <row r="987" spans="1:7" ht="18">
      <c r="A987" s="317"/>
      <c r="B987" s="317"/>
      <c r="C987" s="317"/>
      <c r="D987" s="317"/>
      <c r="E987" s="317"/>
      <c r="F987" s="317"/>
      <c r="G987" s="317"/>
    </row>
    <row r="988" spans="1:7" ht="18">
      <c r="A988" s="317"/>
      <c r="B988" s="317"/>
      <c r="C988" s="317"/>
      <c r="D988" s="317"/>
      <c r="E988" s="317"/>
      <c r="F988" s="317"/>
      <c r="G988" s="317"/>
    </row>
    <row r="989" spans="1:7" ht="18">
      <c r="A989" s="317"/>
      <c r="B989" s="317"/>
      <c r="C989" s="317"/>
      <c r="D989" s="317"/>
      <c r="E989" s="317"/>
      <c r="F989" s="317"/>
      <c r="G989" s="317"/>
    </row>
    <row r="990" spans="1:7" ht="18">
      <c r="A990" s="317"/>
      <c r="B990" s="317"/>
      <c r="C990" s="317"/>
      <c r="D990" s="317"/>
      <c r="E990" s="317"/>
      <c r="F990" s="317"/>
      <c r="G990" s="317"/>
    </row>
    <row r="991" spans="1:7" ht="18">
      <c r="A991" s="317"/>
      <c r="B991" s="317"/>
      <c r="C991" s="317"/>
      <c r="D991" s="317"/>
      <c r="E991" s="317"/>
      <c r="F991" s="317"/>
      <c r="G991" s="317"/>
    </row>
    <row r="992" spans="1:7" ht="18">
      <c r="A992" s="317"/>
      <c r="B992" s="317"/>
      <c r="C992" s="317"/>
      <c r="D992" s="317"/>
      <c r="E992" s="317"/>
      <c r="F992" s="317"/>
      <c r="G992" s="317"/>
    </row>
    <row r="993" spans="1:7" ht="18">
      <c r="A993" s="317"/>
      <c r="B993" s="317"/>
      <c r="C993" s="317"/>
      <c r="D993" s="317"/>
      <c r="E993" s="317"/>
      <c r="F993" s="317"/>
      <c r="G993" s="317"/>
    </row>
    <row r="994" spans="1:7" ht="18">
      <c r="A994" s="317"/>
      <c r="B994" s="317"/>
      <c r="C994" s="317"/>
      <c r="D994" s="317"/>
      <c r="E994" s="317"/>
      <c r="F994" s="317"/>
      <c r="G994" s="317"/>
    </row>
    <row r="995" spans="1:7" ht="18">
      <c r="A995" s="317"/>
      <c r="B995" s="317"/>
      <c r="C995" s="317"/>
      <c r="D995" s="317"/>
      <c r="E995" s="317"/>
      <c r="F995" s="317"/>
      <c r="G995" s="317"/>
    </row>
    <row r="996" spans="1:7" ht="18">
      <c r="A996" s="317"/>
      <c r="B996" s="317"/>
      <c r="C996" s="317"/>
      <c r="D996" s="317"/>
      <c r="E996" s="317"/>
      <c r="F996" s="317"/>
      <c r="G996" s="317"/>
    </row>
    <row r="997" spans="1:7" ht="18">
      <c r="A997" s="317"/>
      <c r="B997" s="317"/>
      <c r="C997" s="317"/>
      <c r="D997" s="317"/>
      <c r="E997" s="317"/>
      <c r="F997" s="317"/>
      <c r="G997" s="317"/>
    </row>
    <row r="998" spans="1:7" ht="18">
      <c r="A998" s="317"/>
      <c r="B998" s="317"/>
      <c r="C998" s="317"/>
      <c r="D998" s="317"/>
      <c r="E998" s="317"/>
      <c r="F998" s="317"/>
      <c r="G998" s="317"/>
    </row>
  </sheetData>
  <sheetProtection algorithmName="SHA-512" hashValue="SRKyVUIWNWN2UakGikXxK3TxXayXZafZIcShGS9tY00VOb6bKzd9wCpwtXpXaoflpkIdFNcrZp8MJ9zngH6q6w==" saltValue="/22oOWmJJS9b+wBTW00fbQ==" spinCount="100000" sheet="1" objects="1" scenarios="1"/>
  <mergeCells count="17">
    <mergeCell ref="B69:D69"/>
    <mergeCell ref="F69:G69"/>
    <mergeCell ref="A72:G72"/>
    <mergeCell ref="B48:D48"/>
    <mergeCell ref="F48:G48"/>
    <mergeCell ref="B49:D49"/>
    <mergeCell ref="F49:G49"/>
    <mergeCell ref="B68:D68"/>
    <mergeCell ref="F68:G68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5A91-570B-4887-B590-88536594F8CD}">
  <dimension ref="A1:K990"/>
  <sheetViews>
    <sheetView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8" width="8.85546875" style="314"/>
    <col min="9" max="9" width="13.85546875" style="314" bestFit="1" customWidth="1"/>
    <col min="10" max="10" width="11.28515625" style="314" bestFit="1" customWidth="1"/>
    <col min="11" max="11" width="12.7109375" style="314" bestFit="1" customWidth="1"/>
    <col min="12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5" t="s">
        <v>719</v>
      </c>
      <c r="B5" s="315"/>
      <c r="C5" s="315"/>
      <c r="D5" s="315"/>
      <c r="E5" s="315"/>
      <c r="F5" s="315"/>
      <c r="G5" s="315"/>
    </row>
    <row r="6" spans="1:7" ht="16.899999999999999" customHeight="1" thickTop="1" thickBot="1">
      <c r="A6" s="1228" t="s">
        <v>16</v>
      </c>
      <c r="B6" s="1228" t="s">
        <v>583</v>
      </c>
      <c r="C6" s="1230" t="s">
        <v>584</v>
      </c>
      <c r="D6" s="1231" t="s">
        <v>613</v>
      </c>
      <c r="E6" s="1242"/>
      <c r="F6" s="1243"/>
      <c r="G6" s="1230" t="s">
        <v>614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5"/>
      <c r="C10" s="325"/>
      <c r="D10" s="325"/>
      <c r="E10" s="325"/>
      <c r="F10" s="380"/>
      <c r="G10" s="327"/>
    </row>
    <row r="11" spans="1:7" ht="18">
      <c r="A11" s="328" t="s">
        <v>34</v>
      </c>
      <c r="B11" s="329"/>
      <c r="C11" s="540"/>
      <c r="D11" s="540"/>
      <c r="E11" s="540"/>
      <c r="F11" s="381"/>
      <c r="G11" s="332"/>
    </row>
    <row r="12" spans="1:7" ht="18">
      <c r="A12" s="333" t="s">
        <v>35</v>
      </c>
      <c r="B12" s="334"/>
      <c r="C12" s="334"/>
      <c r="D12" s="334"/>
      <c r="E12" s="334"/>
      <c r="F12" s="383"/>
      <c r="G12" s="337"/>
    </row>
    <row r="13" spans="1:7" ht="18">
      <c r="A13" s="338" t="s">
        <v>36</v>
      </c>
      <c r="B13" s="425" t="s">
        <v>37</v>
      </c>
      <c r="C13" s="85">
        <v>5706138.1699999999</v>
      </c>
      <c r="D13" s="36">
        <v>2898504</v>
      </c>
      <c r="E13" s="36">
        <f t="shared" ref="E13:E14" si="0">F13-D13</f>
        <v>9257316</v>
      </c>
      <c r="F13" s="84">
        <v>12155820</v>
      </c>
      <c r="G13" s="37">
        <v>12950258</v>
      </c>
    </row>
    <row r="14" spans="1:7" ht="18">
      <c r="A14" s="338" t="s">
        <v>216</v>
      </c>
      <c r="B14" s="425" t="s">
        <v>39</v>
      </c>
      <c r="C14" s="85">
        <v>1315954.3</v>
      </c>
      <c r="D14" s="36">
        <v>595636.19999999995</v>
      </c>
      <c r="E14" s="36">
        <f t="shared" si="0"/>
        <v>808363.8</v>
      </c>
      <c r="F14" s="84">
        <v>1404000</v>
      </c>
      <c r="G14" s="37">
        <v>1485135</v>
      </c>
    </row>
    <row r="15" spans="1:7" ht="18">
      <c r="A15" s="333" t="s">
        <v>40</v>
      </c>
      <c r="B15" s="435"/>
      <c r="C15" s="85"/>
      <c r="D15" s="85"/>
      <c r="E15" s="85"/>
      <c r="F15" s="84"/>
      <c r="G15" s="37"/>
    </row>
    <row r="16" spans="1:7" ht="18">
      <c r="A16" s="338" t="s">
        <v>41</v>
      </c>
      <c r="B16" s="425" t="s">
        <v>42</v>
      </c>
      <c r="C16" s="85">
        <v>660909.16</v>
      </c>
      <c r="D16" s="85">
        <v>319636.38</v>
      </c>
      <c r="E16" s="36">
        <f t="shared" ref="E16:E24" si="1">F16-D16</f>
        <v>592363.62</v>
      </c>
      <c r="F16" s="84">
        <v>912000</v>
      </c>
      <c r="G16" s="37">
        <v>912000</v>
      </c>
    </row>
    <row r="17" spans="1:10" ht="18">
      <c r="A17" s="338" t="s">
        <v>43</v>
      </c>
      <c r="B17" s="425" t="s">
        <v>44</v>
      </c>
      <c r="C17" s="85">
        <v>38406.29</v>
      </c>
      <c r="D17" s="85">
        <v>32000</v>
      </c>
      <c r="E17" s="36">
        <f t="shared" si="1"/>
        <v>160000</v>
      </c>
      <c r="F17" s="84">
        <v>192000</v>
      </c>
      <c r="G17" s="37">
        <v>216000</v>
      </c>
    </row>
    <row r="18" spans="1:10" ht="18">
      <c r="A18" s="338" t="s">
        <v>45</v>
      </c>
      <c r="B18" s="425" t="s">
        <v>46</v>
      </c>
      <c r="C18" s="85">
        <v>23689.47</v>
      </c>
      <c r="D18" s="85">
        <v>32000</v>
      </c>
      <c r="E18" s="36">
        <f t="shared" si="1"/>
        <v>160000</v>
      </c>
      <c r="F18" s="84">
        <v>192000</v>
      </c>
      <c r="G18" s="37">
        <v>216000</v>
      </c>
    </row>
    <row r="19" spans="1:10" ht="18">
      <c r="A19" s="338" t="s">
        <v>47</v>
      </c>
      <c r="B19" s="425" t="s">
        <v>48</v>
      </c>
      <c r="C19" s="85">
        <v>168000</v>
      </c>
      <c r="D19" s="219">
        <v>150000</v>
      </c>
      <c r="E19" s="36">
        <f t="shared" si="1"/>
        <v>78000</v>
      </c>
      <c r="F19" s="84">
        <v>228000</v>
      </c>
      <c r="G19" s="37">
        <v>266000</v>
      </c>
    </row>
    <row r="20" spans="1:10" ht="18">
      <c r="A20" s="338" t="s">
        <v>49</v>
      </c>
      <c r="B20" s="425" t="s">
        <v>50</v>
      </c>
      <c r="C20" s="38">
        <v>130000</v>
      </c>
      <c r="D20" s="38">
        <v>0</v>
      </c>
      <c r="E20" s="36">
        <f t="shared" si="1"/>
        <v>190000</v>
      </c>
      <c r="F20" s="84">
        <v>190000</v>
      </c>
      <c r="G20" s="37">
        <v>190000</v>
      </c>
    </row>
    <row r="21" spans="1:10" ht="18">
      <c r="A21" s="338" t="s">
        <v>53</v>
      </c>
      <c r="B21" s="425" t="s">
        <v>54</v>
      </c>
      <c r="C21" s="85">
        <v>599826.4</v>
      </c>
      <c r="D21" s="219">
        <v>0</v>
      </c>
      <c r="E21" s="36">
        <f t="shared" si="1"/>
        <v>1129985</v>
      </c>
      <c r="F21" s="84">
        <v>1129985</v>
      </c>
      <c r="G21" s="37">
        <v>1233001</v>
      </c>
    </row>
    <row r="22" spans="1:10" ht="18">
      <c r="A22" s="338" t="s">
        <v>55</v>
      </c>
      <c r="B22" s="425" t="s">
        <v>56</v>
      </c>
      <c r="C22" s="85">
        <v>138500</v>
      </c>
      <c r="D22" s="219">
        <v>0</v>
      </c>
      <c r="E22" s="36">
        <f t="shared" si="1"/>
        <v>190000</v>
      </c>
      <c r="F22" s="84">
        <v>190000</v>
      </c>
      <c r="G22" s="37">
        <v>190000</v>
      </c>
    </row>
    <row r="23" spans="1:10" ht="18">
      <c r="A23" s="338" t="s">
        <v>57</v>
      </c>
      <c r="B23" s="339" t="s">
        <v>58</v>
      </c>
      <c r="C23" s="36">
        <v>577965</v>
      </c>
      <c r="D23" s="67">
        <v>561084</v>
      </c>
      <c r="E23" s="36">
        <f t="shared" si="1"/>
        <v>568901</v>
      </c>
      <c r="F23" s="84">
        <v>1129985</v>
      </c>
      <c r="G23" s="37">
        <v>1181484</v>
      </c>
    </row>
    <row r="24" spans="1:10" ht="18">
      <c r="A24" s="338" t="s">
        <v>557</v>
      </c>
      <c r="B24" s="339" t="s">
        <v>58</v>
      </c>
      <c r="C24" s="36">
        <v>0</v>
      </c>
      <c r="D24" s="67">
        <v>0</v>
      </c>
      <c r="E24" s="85">
        <f t="shared" si="1"/>
        <v>0</v>
      </c>
      <c r="F24" s="84">
        <v>0</v>
      </c>
      <c r="G24" s="37">
        <v>266000</v>
      </c>
    </row>
    <row r="25" spans="1:10" ht="18">
      <c r="A25" s="333" t="s">
        <v>59</v>
      </c>
      <c r="B25" s="360"/>
      <c r="C25" s="36"/>
      <c r="D25" s="85"/>
      <c r="E25" s="85"/>
      <c r="F25" s="84"/>
      <c r="G25" s="37"/>
    </row>
    <row r="26" spans="1:10" ht="18">
      <c r="A26" s="338" t="s">
        <v>60</v>
      </c>
      <c r="B26" s="339" t="s">
        <v>61</v>
      </c>
      <c r="C26" s="36">
        <v>842708.78</v>
      </c>
      <c r="D26" s="85">
        <v>419203.92</v>
      </c>
      <c r="E26" s="36">
        <f t="shared" ref="E26:E29" si="2">F26-D26</f>
        <v>1207974.48</v>
      </c>
      <c r="F26" s="84">
        <v>1627178.4</v>
      </c>
      <c r="G26" s="37">
        <v>1732247.16</v>
      </c>
    </row>
    <row r="27" spans="1:10" ht="18">
      <c r="A27" s="338" t="s">
        <v>62</v>
      </c>
      <c r="B27" s="339" t="s">
        <v>63</v>
      </c>
      <c r="C27" s="36">
        <v>33200</v>
      </c>
      <c r="D27" s="85">
        <v>29600</v>
      </c>
      <c r="E27" s="36">
        <f t="shared" si="2"/>
        <v>16000</v>
      </c>
      <c r="F27" s="84">
        <v>45600</v>
      </c>
      <c r="G27" s="37">
        <v>91200</v>
      </c>
    </row>
    <row r="28" spans="1:10" ht="18">
      <c r="A28" s="338" t="s">
        <v>64</v>
      </c>
      <c r="B28" s="339" t="s">
        <v>65</v>
      </c>
      <c r="C28" s="36">
        <v>140001.97</v>
      </c>
      <c r="D28" s="85">
        <v>92640.320000000007</v>
      </c>
      <c r="E28" s="36">
        <f t="shared" si="2"/>
        <v>205404.27999999997</v>
      </c>
      <c r="F28" s="37">
        <v>298044.59999999998</v>
      </c>
      <c r="G28" s="37">
        <v>353902.78</v>
      </c>
    </row>
    <row r="29" spans="1:10" ht="18">
      <c r="A29" s="341" t="s">
        <v>66</v>
      </c>
      <c r="B29" s="342" t="s">
        <v>67</v>
      </c>
      <c r="C29" s="72">
        <v>33300</v>
      </c>
      <c r="D29" s="220">
        <v>16100</v>
      </c>
      <c r="E29" s="72">
        <f t="shared" si="2"/>
        <v>29500</v>
      </c>
      <c r="F29" s="123">
        <v>45600</v>
      </c>
      <c r="G29" s="123">
        <v>45600</v>
      </c>
    </row>
    <row r="30" spans="1:10" ht="18">
      <c r="A30" s="333" t="s">
        <v>68</v>
      </c>
      <c r="B30" s="425"/>
      <c r="C30" s="36"/>
      <c r="D30" s="36"/>
      <c r="E30" s="36"/>
      <c r="F30" s="84"/>
      <c r="G30" s="37"/>
    </row>
    <row r="31" spans="1:10" ht="18.75" thickBot="1">
      <c r="A31" s="338" t="s">
        <v>720</v>
      </c>
      <c r="B31" s="342" t="s">
        <v>520</v>
      </c>
      <c r="C31" s="48">
        <v>0</v>
      </c>
      <c r="D31" s="48">
        <v>0</v>
      </c>
      <c r="E31" s="945">
        <v>0</v>
      </c>
      <c r="F31" s="49">
        <v>0</v>
      </c>
      <c r="G31" s="49">
        <v>579733.80000000005</v>
      </c>
      <c r="I31" s="558"/>
      <c r="J31" s="558"/>
    </row>
    <row r="32" spans="1:10" ht="19.5" thickTop="1" thickBot="1">
      <c r="A32" s="351" t="s">
        <v>71</v>
      </c>
      <c r="B32" s="352"/>
      <c r="C32" s="75">
        <f t="shared" ref="C32:F32" si="3">SUM(C13:C29)</f>
        <v>10408599.539999999</v>
      </c>
      <c r="D32" s="75">
        <f t="shared" si="3"/>
        <v>5146404.82</v>
      </c>
      <c r="E32" s="75">
        <f t="shared" si="3"/>
        <v>14593808.18</v>
      </c>
      <c r="F32" s="75">
        <f t="shared" si="3"/>
        <v>19740213</v>
      </c>
      <c r="G32" s="77">
        <f>SUM(G13:G31)</f>
        <v>21908561.740000002</v>
      </c>
      <c r="I32" s="558">
        <f>G32-F32</f>
        <v>2168348.7400000021</v>
      </c>
    </row>
    <row r="33" spans="1:11" ht="18.75" thickTop="1">
      <c r="A33" s="355" t="s">
        <v>72</v>
      </c>
      <c r="B33" s="356"/>
      <c r="C33" s="427"/>
      <c r="D33" s="427"/>
      <c r="E33" s="427"/>
      <c r="F33" s="547"/>
      <c r="G33" s="327"/>
    </row>
    <row r="34" spans="1:11" ht="18">
      <c r="A34" s="338" t="s">
        <v>377</v>
      </c>
      <c r="B34" s="356" t="s">
        <v>74</v>
      </c>
      <c r="C34" s="946">
        <v>0</v>
      </c>
      <c r="D34" s="946">
        <v>0</v>
      </c>
      <c r="E34" s="946">
        <v>0</v>
      </c>
      <c r="F34" s="947">
        <v>0</v>
      </c>
      <c r="G34" s="37">
        <v>300000</v>
      </c>
    </row>
    <row r="35" spans="1:11" ht="18">
      <c r="A35" s="338" t="s">
        <v>75</v>
      </c>
      <c r="B35" s="356" t="s">
        <v>76</v>
      </c>
      <c r="C35" s="38">
        <v>150000</v>
      </c>
      <c r="D35" s="55">
        <v>100000</v>
      </c>
      <c r="E35" s="36">
        <f t="shared" ref="E35:E40" si="4">F35-D35</f>
        <v>150000</v>
      </c>
      <c r="F35" s="37">
        <v>250000</v>
      </c>
      <c r="G35" s="37">
        <v>300000</v>
      </c>
    </row>
    <row r="36" spans="1:11" ht="18">
      <c r="A36" s="359" t="s">
        <v>77</v>
      </c>
      <c r="B36" s="360" t="s">
        <v>78</v>
      </c>
      <c r="C36" s="38">
        <v>193138</v>
      </c>
      <c r="D36" s="38">
        <v>222972.5</v>
      </c>
      <c r="E36" s="36">
        <f t="shared" si="4"/>
        <v>221354.65000000002</v>
      </c>
      <c r="F36" s="37">
        <v>444327.15</v>
      </c>
      <c r="G36" s="37">
        <v>445000</v>
      </c>
    </row>
    <row r="37" spans="1:11" ht="18">
      <c r="A37" s="359" t="s">
        <v>79</v>
      </c>
      <c r="B37" s="360" t="s">
        <v>80</v>
      </c>
      <c r="C37" s="38">
        <v>111850.8</v>
      </c>
      <c r="D37" s="36">
        <v>38282.57</v>
      </c>
      <c r="E37" s="36">
        <f t="shared" si="4"/>
        <v>196590.28</v>
      </c>
      <c r="F37" s="37">
        <v>234872.85</v>
      </c>
      <c r="G37" s="37">
        <v>130000</v>
      </c>
    </row>
    <row r="38" spans="1:11" ht="18">
      <c r="A38" s="359" t="s">
        <v>83</v>
      </c>
      <c r="B38" s="360" t="s">
        <v>84</v>
      </c>
      <c r="C38" s="55">
        <v>40094</v>
      </c>
      <c r="D38" s="56">
        <v>29245</v>
      </c>
      <c r="E38" s="36">
        <f t="shared" si="4"/>
        <v>41555</v>
      </c>
      <c r="F38" s="37">
        <v>70800</v>
      </c>
      <c r="G38" s="37">
        <v>60000</v>
      </c>
    </row>
    <row r="39" spans="1:11" ht="18">
      <c r="A39" s="359" t="s">
        <v>199</v>
      </c>
      <c r="B39" s="360" t="s">
        <v>200</v>
      </c>
      <c r="C39" s="36">
        <v>777241.28</v>
      </c>
      <c r="D39" s="56">
        <v>589613.31999999995</v>
      </c>
      <c r="E39" s="36">
        <f t="shared" si="4"/>
        <v>1450386.6800000002</v>
      </c>
      <c r="F39" s="37">
        <v>2040000</v>
      </c>
      <c r="G39" s="37">
        <v>2213640</v>
      </c>
    </row>
    <row r="40" spans="1:11" ht="36">
      <c r="A40" s="538" t="s">
        <v>242</v>
      </c>
      <c r="B40" s="360" t="s">
        <v>243</v>
      </c>
      <c r="C40" s="946">
        <v>0</v>
      </c>
      <c r="D40" s="946">
        <v>0</v>
      </c>
      <c r="E40" s="72">
        <f t="shared" si="4"/>
        <v>50000</v>
      </c>
      <c r="F40" s="37">
        <v>50000</v>
      </c>
      <c r="G40" s="37">
        <v>50000</v>
      </c>
    </row>
    <row r="41" spans="1:11" ht="18.75" thickBot="1">
      <c r="A41" s="948"/>
      <c r="B41" s="949"/>
      <c r="C41" s="950"/>
      <c r="D41" s="951"/>
      <c r="E41" s="952"/>
      <c r="F41" s="953"/>
      <c r="G41" s="953"/>
    </row>
    <row r="42" spans="1:11" ht="19.5" thickTop="1" thickBot="1">
      <c r="A42" s="351" t="s">
        <v>162</v>
      </c>
      <c r="B42" s="367"/>
      <c r="C42" s="75">
        <f>SUM(C35:C41)</f>
        <v>1272324.08</v>
      </c>
      <c r="D42" s="75">
        <f>SUM(D35:D41)</f>
        <v>980113.3899999999</v>
      </c>
      <c r="E42" s="75">
        <f>SUM(E35:E41)</f>
        <v>2109886.6100000003</v>
      </c>
      <c r="F42" s="75">
        <f>SUM(F35:F41)</f>
        <v>3090000</v>
      </c>
      <c r="G42" s="75">
        <f>SUM(G34:G41)</f>
        <v>3498640</v>
      </c>
      <c r="I42" s="122">
        <v>2008500</v>
      </c>
      <c r="K42" s="558">
        <f>G42-I42</f>
        <v>1490140</v>
      </c>
    </row>
    <row r="43" spans="1:11" ht="19.5" thickTop="1" thickBot="1">
      <c r="A43" s="351" t="s">
        <v>181</v>
      </c>
      <c r="B43" s="367"/>
      <c r="C43" s="75">
        <f>C32+C42</f>
        <v>11680923.619999999</v>
      </c>
      <c r="D43" s="75">
        <f>D32+D42</f>
        <v>6126518.21</v>
      </c>
      <c r="E43" s="75">
        <f>E32+E42</f>
        <v>16703694.789999999</v>
      </c>
      <c r="F43" s="75">
        <f>F32+F42</f>
        <v>22830213</v>
      </c>
      <c r="G43" s="75">
        <f>G32+G42</f>
        <v>25407201.740000002</v>
      </c>
    </row>
    <row r="44" spans="1:11" ht="18.75" thickTop="1">
      <c r="A44" s="317"/>
      <c r="B44" s="317"/>
      <c r="C44" s="317"/>
      <c r="D44" s="317"/>
      <c r="E44" s="317"/>
      <c r="F44" s="317"/>
      <c r="G44" s="317"/>
    </row>
    <row r="45" spans="1:11" ht="18">
      <c r="A45" s="317"/>
      <c r="B45" s="317"/>
      <c r="C45" s="317"/>
      <c r="D45" s="317"/>
      <c r="E45" s="317"/>
      <c r="F45" s="317"/>
      <c r="G45" s="317"/>
    </row>
    <row r="46" spans="1:11" ht="18">
      <c r="A46" s="317"/>
      <c r="B46" s="317"/>
      <c r="C46" s="317"/>
      <c r="D46" s="317"/>
      <c r="E46" s="317"/>
      <c r="F46" s="317"/>
      <c r="G46" s="317"/>
    </row>
    <row r="47" spans="1:11" ht="18">
      <c r="A47" s="317"/>
      <c r="B47" s="317"/>
      <c r="C47" s="317"/>
      <c r="D47" s="317"/>
      <c r="E47" s="317"/>
      <c r="F47" s="317"/>
      <c r="G47" s="317"/>
    </row>
    <row r="48" spans="1:11" ht="18">
      <c r="A48" s="317"/>
      <c r="B48" s="317"/>
      <c r="C48" s="317"/>
      <c r="D48" s="317"/>
      <c r="E48" s="317"/>
      <c r="F48" s="317"/>
      <c r="G48" s="317"/>
    </row>
    <row r="49" spans="1:7" ht="18">
      <c r="A49" s="317"/>
      <c r="B49" s="317"/>
      <c r="C49" s="317"/>
      <c r="D49" s="317"/>
      <c r="E49" s="317"/>
      <c r="F49" s="317"/>
      <c r="G49" s="317"/>
    </row>
    <row r="50" spans="1:7" ht="18">
      <c r="A50" s="317"/>
      <c r="B50" s="317"/>
      <c r="C50" s="317"/>
      <c r="D50" s="317"/>
      <c r="E50" s="317"/>
      <c r="F50" s="317"/>
      <c r="G50" s="317"/>
    </row>
    <row r="51" spans="1:7" ht="18">
      <c r="A51" s="317"/>
      <c r="B51" s="317"/>
      <c r="C51" s="317"/>
      <c r="D51" s="317"/>
      <c r="E51" s="317"/>
      <c r="F51" s="317"/>
      <c r="G51" s="317"/>
    </row>
    <row r="52" spans="1:7" ht="18">
      <c r="A52" s="309"/>
      <c r="B52" s="1239"/>
      <c r="C52" s="1236"/>
      <c r="D52" s="1236"/>
      <c r="E52" s="369"/>
      <c r="F52" s="1240"/>
      <c r="G52" s="1241"/>
    </row>
    <row r="53" spans="1:7" ht="18">
      <c r="A53" s="317"/>
      <c r="B53" s="317"/>
      <c r="C53" s="317"/>
      <c r="D53" s="317"/>
      <c r="E53" s="317"/>
      <c r="F53" s="317"/>
      <c r="G53" s="317"/>
    </row>
    <row r="54" spans="1:7" ht="18">
      <c r="A54" s="317"/>
      <c r="B54" s="317"/>
      <c r="C54" s="317"/>
      <c r="D54" s="317"/>
      <c r="E54" s="317"/>
      <c r="F54" s="317"/>
      <c r="G54" s="317"/>
    </row>
    <row r="55" spans="1:7" ht="18">
      <c r="A55" s="317"/>
      <c r="B55" s="317"/>
      <c r="C55" s="317"/>
      <c r="D55" s="317"/>
      <c r="E55" s="317"/>
      <c r="F55" s="317"/>
      <c r="G55" s="317"/>
    </row>
    <row r="56" spans="1:7" ht="18">
      <c r="A56" s="317"/>
      <c r="B56" s="317"/>
      <c r="C56" s="317"/>
      <c r="D56" s="317"/>
      <c r="E56" s="317"/>
      <c r="F56" s="317"/>
      <c r="G56" s="317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/>
      <c r="B58" s="317"/>
      <c r="C58" s="317"/>
      <c r="D58" s="317"/>
      <c r="E58" s="317"/>
      <c r="F58" s="317"/>
      <c r="G58" s="317"/>
    </row>
    <row r="59" spans="1:7" ht="18">
      <c r="A59" s="317"/>
      <c r="B59" s="317"/>
      <c r="C59" s="317"/>
      <c r="D59" s="317"/>
      <c r="E59" s="317"/>
      <c r="F59" s="317"/>
      <c r="G59" s="317"/>
    </row>
    <row r="60" spans="1:7" ht="18">
      <c r="A60" s="317"/>
      <c r="B60" s="317"/>
      <c r="C60" s="317"/>
      <c r="D60" s="317"/>
      <c r="E60" s="317"/>
      <c r="F60" s="317"/>
      <c r="G60" s="317"/>
    </row>
    <row r="61" spans="1:7" ht="18">
      <c r="A61" s="954" t="s">
        <v>183</v>
      </c>
      <c r="B61" s="955" t="s">
        <v>184</v>
      </c>
      <c r="C61" s="317"/>
      <c r="D61" s="317"/>
      <c r="E61" s="317"/>
      <c r="F61" s="317" t="s">
        <v>185</v>
      </c>
      <c r="G61" s="317"/>
    </row>
    <row r="62" spans="1:7" ht="18">
      <c r="A62" s="317"/>
      <c r="B62" s="317"/>
      <c r="C62" s="317"/>
      <c r="D62" s="317"/>
      <c r="E62" s="317"/>
      <c r="F62" s="317"/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8">
      <c r="A64" s="317"/>
      <c r="B64" s="317"/>
      <c r="C64" s="317"/>
      <c r="D64" s="317"/>
      <c r="E64" s="317"/>
      <c r="F64" s="317"/>
      <c r="G64" s="317"/>
    </row>
    <row r="65" spans="1:7" ht="18">
      <c r="A65" s="317"/>
      <c r="B65" s="317"/>
      <c r="C65" s="317"/>
      <c r="D65" s="317"/>
      <c r="E65" s="317"/>
      <c r="F65" s="317"/>
      <c r="G65" s="31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09" t="s">
        <v>721</v>
      </c>
      <c r="B68" s="1239" t="s">
        <v>187</v>
      </c>
      <c r="C68" s="1236"/>
      <c r="D68" s="1236"/>
      <c r="E68" s="369"/>
      <c r="F68" s="1240" t="s">
        <v>188</v>
      </c>
      <c r="G68" s="1241"/>
    </row>
    <row r="69" spans="1:7" ht="18">
      <c r="A69" s="371" t="s">
        <v>722</v>
      </c>
      <c r="B69" s="1235" t="s">
        <v>190</v>
      </c>
      <c r="C69" s="1236"/>
      <c r="D69" s="1236"/>
      <c r="E69" s="372"/>
      <c r="F69" s="1237" t="s">
        <v>191</v>
      </c>
      <c r="G69" s="1241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6.5">
      <c r="A72" s="1238" t="s">
        <v>194</v>
      </c>
      <c r="B72" s="1238"/>
      <c r="C72" s="1238"/>
      <c r="D72" s="1238"/>
      <c r="E72" s="1238"/>
      <c r="F72" s="1238"/>
      <c r="G72" s="1238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>
      <c r="A244" s="377"/>
      <c r="B244" s="377"/>
      <c r="C244" s="377"/>
      <c r="D244" s="377"/>
      <c r="E244" s="377"/>
      <c r="F244" s="377"/>
      <c r="G244" s="377"/>
    </row>
    <row r="245" spans="1:7">
      <c r="A245" s="377"/>
      <c r="B245" s="377"/>
      <c r="C245" s="377"/>
      <c r="D245" s="377"/>
      <c r="E245" s="377"/>
      <c r="F245" s="377"/>
      <c r="G245" s="377"/>
    </row>
    <row r="246" spans="1:7">
      <c r="A246" s="377"/>
      <c r="B246" s="377"/>
      <c r="C246" s="377"/>
      <c r="D246" s="377"/>
      <c r="E246" s="377"/>
      <c r="F246" s="377"/>
      <c r="G246" s="377"/>
    </row>
    <row r="247" spans="1:7">
      <c r="A247" s="377"/>
      <c r="B247" s="377"/>
      <c r="C247" s="377"/>
      <c r="D247" s="377"/>
      <c r="E247" s="377"/>
      <c r="F247" s="377"/>
      <c r="G247" s="377"/>
    </row>
    <row r="248" spans="1:7">
      <c r="A248" s="377"/>
      <c r="B248" s="377"/>
      <c r="C248" s="377"/>
      <c r="D248" s="377"/>
      <c r="E248" s="377"/>
      <c r="F248" s="377"/>
      <c r="G248" s="377"/>
    </row>
    <row r="249" spans="1:7">
      <c r="A249" s="377"/>
      <c r="B249" s="377"/>
      <c r="C249" s="377"/>
      <c r="D249" s="377"/>
      <c r="E249" s="377"/>
      <c r="F249" s="377"/>
      <c r="G249" s="377"/>
    </row>
    <row r="250" spans="1:7">
      <c r="A250" s="377"/>
      <c r="B250" s="377"/>
      <c r="C250" s="377"/>
      <c r="D250" s="377"/>
      <c r="E250" s="377"/>
      <c r="F250" s="377"/>
      <c r="G250" s="377"/>
    </row>
    <row r="251" spans="1:7">
      <c r="A251" s="377"/>
      <c r="B251" s="377"/>
      <c r="C251" s="377"/>
      <c r="D251" s="377"/>
      <c r="E251" s="377"/>
      <c r="F251" s="377"/>
      <c r="G251" s="377"/>
    </row>
    <row r="252" spans="1:7">
      <c r="A252" s="377"/>
      <c r="B252" s="377"/>
      <c r="C252" s="377"/>
      <c r="D252" s="377"/>
      <c r="E252" s="377"/>
      <c r="F252" s="377"/>
      <c r="G252" s="37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</sheetData>
  <sheetProtection algorithmName="SHA-512" hashValue="7mNIsxPxAFDHw9MU8tSTspKuMpsdG34O07CD6GONrbZPYZqadilaapone/xzdrWdB762nsAHM9Saxzhjs4kMqg==" saltValue="uRvfRcQhwNcQF3A1iadT9A==" spinCount="100000" sheet="1" objects="1" scenarios="1"/>
  <mergeCells count="15">
    <mergeCell ref="A72:G72"/>
    <mergeCell ref="B52:D52"/>
    <mergeCell ref="F52:G52"/>
    <mergeCell ref="B68:D68"/>
    <mergeCell ref="F68:G68"/>
    <mergeCell ref="B69:D69"/>
    <mergeCell ref="F69:G69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1DD9A-BD90-46A5-B415-5EF7DC6D929E}">
  <dimension ref="A1:L991"/>
  <sheetViews>
    <sheetView topLeftCell="A16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8" width="8.85546875" style="314"/>
    <col min="9" max="9" width="11.5703125" style="314" bestFit="1" customWidth="1"/>
    <col min="10" max="10" width="13.85546875" style="314" bestFit="1" customWidth="1"/>
    <col min="11" max="11" width="8.85546875" style="314"/>
    <col min="12" max="12" width="14.85546875" style="314" bestFit="1" customWidth="1"/>
    <col min="13" max="16384" width="8.85546875" style="314"/>
  </cols>
  <sheetData>
    <row r="1" spans="1:9" ht="18">
      <c r="A1" s="311"/>
      <c r="B1" s="312"/>
      <c r="C1" s="313"/>
      <c r="D1" s="313"/>
      <c r="E1" s="313"/>
      <c r="F1" s="312"/>
      <c r="G1" s="312"/>
    </row>
    <row r="2" spans="1:9" ht="21">
      <c r="A2" s="1225" t="s">
        <v>0</v>
      </c>
      <c r="B2" s="1225"/>
      <c r="C2" s="1225"/>
      <c r="D2" s="1225"/>
      <c r="E2" s="1225"/>
      <c r="F2" s="1225"/>
      <c r="G2" s="1225"/>
    </row>
    <row r="3" spans="1:9" ht="18">
      <c r="A3" s="1227" t="s">
        <v>14</v>
      </c>
      <c r="B3" s="1227"/>
      <c r="C3" s="1227"/>
      <c r="D3" s="1227"/>
      <c r="E3" s="1227"/>
      <c r="F3" s="1227"/>
      <c r="G3" s="1227"/>
    </row>
    <row r="4" spans="1:9" ht="18">
      <c r="A4" s="315"/>
      <c r="B4" s="315"/>
      <c r="C4" s="316"/>
      <c r="D4" s="316"/>
      <c r="E4" s="316"/>
      <c r="F4" s="315"/>
      <c r="G4" s="315"/>
    </row>
    <row r="5" spans="1:9" ht="18.75" thickBot="1">
      <c r="A5" s="315" t="s">
        <v>436</v>
      </c>
      <c r="B5" s="315"/>
      <c r="C5" s="316"/>
      <c r="D5" s="956"/>
      <c r="E5" s="316"/>
      <c r="F5" s="315"/>
      <c r="G5" s="315"/>
    </row>
    <row r="6" spans="1:9" ht="15.6" customHeight="1" thickTop="1" thickBot="1">
      <c r="A6" s="1228" t="s">
        <v>16</v>
      </c>
      <c r="B6" s="1228" t="s">
        <v>17</v>
      </c>
      <c r="C6" s="1230" t="s">
        <v>588</v>
      </c>
      <c r="D6" s="1268" t="s">
        <v>581</v>
      </c>
      <c r="E6" s="1269"/>
      <c r="F6" s="1270"/>
      <c r="G6" s="1228" t="s">
        <v>556</v>
      </c>
    </row>
    <row r="7" spans="1:9" ht="35.25" thickTop="1">
      <c r="A7" s="1266"/>
      <c r="B7" s="1266"/>
      <c r="C7" s="1267"/>
      <c r="D7" s="320" t="s">
        <v>21</v>
      </c>
      <c r="E7" s="320" t="s">
        <v>22</v>
      </c>
      <c r="F7" s="1228" t="s">
        <v>23</v>
      </c>
      <c r="G7" s="1266"/>
    </row>
    <row r="8" spans="1:9" ht="18">
      <c r="A8" s="1266"/>
      <c r="B8" s="1266"/>
      <c r="C8" s="1267"/>
      <c r="D8" s="321" t="s">
        <v>24</v>
      </c>
      <c r="E8" s="321" t="s">
        <v>25</v>
      </c>
      <c r="F8" s="1266"/>
      <c r="G8" s="1266"/>
    </row>
    <row r="9" spans="1:9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9" ht="18.75" thickTop="1">
      <c r="A10" s="324" t="s">
        <v>33</v>
      </c>
      <c r="B10" s="326"/>
      <c r="C10" s="578"/>
      <c r="D10" s="578"/>
      <c r="E10" s="578"/>
      <c r="F10" s="380"/>
      <c r="G10" s="327"/>
    </row>
    <row r="11" spans="1:9" ht="18">
      <c r="A11" s="328" t="s">
        <v>34</v>
      </c>
      <c r="B11" s="748"/>
      <c r="C11" s="579"/>
      <c r="D11" s="579"/>
      <c r="E11" s="579"/>
      <c r="F11" s="381"/>
      <c r="G11" s="332"/>
    </row>
    <row r="12" spans="1:9" ht="18">
      <c r="A12" s="333" t="s">
        <v>35</v>
      </c>
      <c r="B12" s="335"/>
      <c r="C12" s="579"/>
      <c r="D12" s="579"/>
      <c r="E12" s="579"/>
      <c r="F12" s="383"/>
      <c r="G12" s="337"/>
    </row>
    <row r="13" spans="1:9" ht="18">
      <c r="A13" s="338" t="s">
        <v>36</v>
      </c>
      <c r="B13" s="425" t="s">
        <v>37</v>
      </c>
      <c r="C13" s="36">
        <v>100163009.56999999</v>
      </c>
      <c r="D13" s="36">
        <v>48390006.009999998</v>
      </c>
      <c r="E13" s="36">
        <f t="shared" ref="E13:E14" si="0">F13-D13</f>
        <v>77390777.99000001</v>
      </c>
      <c r="F13" s="37">
        <v>125780784</v>
      </c>
      <c r="G13" s="37">
        <v>134159311</v>
      </c>
      <c r="I13" s="558"/>
    </row>
    <row r="14" spans="1:9" ht="18">
      <c r="A14" s="338" t="s">
        <v>38</v>
      </c>
      <c r="B14" s="425" t="s">
        <v>39</v>
      </c>
      <c r="C14" s="36">
        <v>1028545.25</v>
      </c>
      <c r="D14" s="36">
        <v>542545.4</v>
      </c>
      <c r="E14" s="36">
        <f t="shared" si="0"/>
        <v>561454.6</v>
      </c>
      <c r="F14" s="37">
        <v>1104000</v>
      </c>
      <c r="G14" s="37">
        <v>1174779</v>
      </c>
    </row>
    <row r="15" spans="1:9" ht="18">
      <c r="A15" s="333" t="s">
        <v>40</v>
      </c>
      <c r="B15" s="435"/>
      <c r="C15" s="36"/>
      <c r="D15" s="36"/>
      <c r="E15" s="36"/>
      <c r="F15" s="37"/>
      <c r="G15" s="37"/>
    </row>
    <row r="16" spans="1:9" ht="18">
      <c r="A16" s="338" t="s">
        <v>41</v>
      </c>
      <c r="B16" s="425" t="s">
        <v>42</v>
      </c>
      <c r="C16" s="36">
        <v>5202709.83</v>
      </c>
      <c r="D16" s="36">
        <v>2545181.85</v>
      </c>
      <c r="E16" s="36">
        <f t="shared" ref="E16:E21" si="1">F16-D16</f>
        <v>3838818.15</v>
      </c>
      <c r="F16" s="37">
        <v>6384000</v>
      </c>
      <c r="G16" s="37">
        <v>6384000</v>
      </c>
    </row>
    <row r="17" spans="1:10" ht="18">
      <c r="A17" s="338" t="s">
        <v>43</v>
      </c>
      <c r="B17" s="425" t="s">
        <v>44</v>
      </c>
      <c r="C17" s="36">
        <v>192000</v>
      </c>
      <c r="D17" s="36">
        <v>96000</v>
      </c>
      <c r="E17" s="36">
        <f t="shared" si="1"/>
        <v>96000</v>
      </c>
      <c r="F17" s="37">
        <v>192000</v>
      </c>
      <c r="G17" s="37">
        <v>216000</v>
      </c>
    </row>
    <row r="18" spans="1:10" ht="18">
      <c r="A18" s="338" t="s">
        <v>45</v>
      </c>
      <c r="B18" s="425" t="s">
        <v>46</v>
      </c>
      <c r="C18" s="36">
        <v>192000</v>
      </c>
      <c r="D18" s="36">
        <v>96000</v>
      </c>
      <c r="E18" s="36">
        <f t="shared" si="1"/>
        <v>96000</v>
      </c>
      <c r="F18" s="37">
        <v>192000</v>
      </c>
      <c r="G18" s="37">
        <v>216000</v>
      </c>
    </row>
    <row r="19" spans="1:10" ht="18">
      <c r="A19" s="338" t="s">
        <v>47</v>
      </c>
      <c r="B19" s="425" t="s">
        <v>48</v>
      </c>
      <c r="C19" s="36">
        <v>1296000</v>
      </c>
      <c r="D19" s="38">
        <v>1266000</v>
      </c>
      <c r="E19" s="36">
        <f t="shared" si="1"/>
        <v>330000</v>
      </c>
      <c r="F19" s="37">
        <v>1596000</v>
      </c>
      <c r="G19" s="37">
        <v>1862000</v>
      </c>
    </row>
    <row r="20" spans="1:10" ht="18">
      <c r="A20" s="359" t="s">
        <v>437</v>
      </c>
      <c r="B20" s="435" t="s">
        <v>438</v>
      </c>
      <c r="C20" s="36">
        <v>2385117.5</v>
      </c>
      <c r="D20" s="36">
        <v>1037700</v>
      </c>
      <c r="E20" s="36">
        <f t="shared" si="1"/>
        <v>2486700</v>
      </c>
      <c r="F20" s="151">
        <v>3524400</v>
      </c>
      <c r="G20" s="151">
        <f>50*22*12*244</f>
        <v>3220800</v>
      </c>
    </row>
    <row r="21" spans="1:10" ht="18">
      <c r="A21" s="359" t="s">
        <v>439</v>
      </c>
      <c r="B21" s="435" t="s">
        <v>440</v>
      </c>
      <c r="C21" s="36">
        <v>331255.38</v>
      </c>
      <c r="D21" s="36">
        <v>144125</v>
      </c>
      <c r="E21" s="36">
        <f t="shared" si="1"/>
        <v>334675</v>
      </c>
      <c r="F21" s="37">
        <v>478800</v>
      </c>
      <c r="G21" s="37">
        <f>150*12*244</f>
        <v>439200</v>
      </c>
    </row>
    <row r="22" spans="1:10" ht="18">
      <c r="A22" s="338" t="s">
        <v>49</v>
      </c>
      <c r="B22" s="339" t="s">
        <v>50</v>
      </c>
      <c r="C22" s="38">
        <v>1085000</v>
      </c>
      <c r="D22" s="38">
        <v>0</v>
      </c>
      <c r="E22" s="36">
        <v>1330000</v>
      </c>
      <c r="F22" s="37">
        <v>1330000</v>
      </c>
      <c r="G22" s="37">
        <v>1330000</v>
      </c>
    </row>
    <row r="23" spans="1:10" ht="18">
      <c r="A23" s="359" t="s">
        <v>441</v>
      </c>
      <c r="B23" s="435" t="s">
        <v>442</v>
      </c>
      <c r="C23" s="36">
        <v>2649965.9500000002</v>
      </c>
      <c r="D23" s="36">
        <v>3483664.45</v>
      </c>
      <c r="E23" s="36">
        <f t="shared" ref="E23:E26" si="2">F23-D23</f>
        <v>7366612.5499999998</v>
      </c>
      <c r="F23" s="37">
        <v>10850277</v>
      </c>
      <c r="G23" s="37">
        <v>11076360.449999999</v>
      </c>
    </row>
    <row r="24" spans="1:10" ht="18">
      <c r="A24" s="359" t="s">
        <v>53</v>
      </c>
      <c r="B24" s="435" t="s">
        <v>54</v>
      </c>
      <c r="C24" s="36">
        <v>8579876.4000000004</v>
      </c>
      <c r="D24" s="38">
        <v>0</v>
      </c>
      <c r="E24" s="36">
        <f t="shared" si="2"/>
        <v>10573732</v>
      </c>
      <c r="F24" s="37">
        <v>10573732</v>
      </c>
      <c r="G24" s="37">
        <v>11567159</v>
      </c>
    </row>
    <row r="25" spans="1:10" ht="18">
      <c r="A25" s="359" t="s">
        <v>55</v>
      </c>
      <c r="B25" s="435" t="s">
        <v>56</v>
      </c>
      <c r="C25" s="36">
        <v>1107750</v>
      </c>
      <c r="D25" s="38">
        <v>0</v>
      </c>
      <c r="E25" s="36">
        <f t="shared" si="2"/>
        <v>1330000</v>
      </c>
      <c r="F25" s="37">
        <v>1330000</v>
      </c>
      <c r="G25" s="37">
        <v>1330000</v>
      </c>
    </row>
    <row r="26" spans="1:10" ht="18">
      <c r="A26" s="338" t="s">
        <v>57</v>
      </c>
      <c r="B26" s="435" t="s">
        <v>58</v>
      </c>
      <c r="C26" s="36">
        <v>8333965</v>
      </c>
      <c r="D26" s="36">
        <v>8161711</v>
      </c>
      <c r="E26" s="36">
        <f t="shared" si="2"/>
        <v>2412021</v>
      </c>
      <c r="F26" s="37">
        <v>10573732</v>
      </c>
      <c r="G26" s="37">
        <v>11071289</v>
      </c>
    </row>
    <row r="27" spans="1:10" ht="18">
      <c r="A27" s="338" t="s">
        <v>557</v>
      </c>
      <c r="B27" s="435" t="s">
        <v>58</v>
      </c>
      <c r="C27" s="152">
        <v>0</v>
      </c>
      <c r="D27" s="152">
        <v>0</v>
      </c>
      <c r="E27" s="152">
        <v>0</v>
      </c>
      <c r="F27" s="153">
        <v>0</v>
      </c>
      <c r="G27" s="45">
        <v>1862000</v>
      </c>
    </row>
    <row r="28" spans="1:10" ht="18">
      <c r="A28" s="333" t="s">
        <v>59</v>
      </c>
      <c r="B28" s="435"/>
      <c r="C28" s="47"/>
      <c r="D28" s="47"/>
      <c r="E28" s="47"/>
      <c r="F28" s="80"/>
      <c r="G28" s="80"/>
    </row>
    <row r="29" spans="1:10" ht="18">
      <c r="A29" s="338" t="s">
        <v>60</v>
      </c>
      <c r="B29" s="425" t="s">
        <v>61</v>
      </c>
      <c r="C29" s="36">
        <v>12131035.449999999</v>
      </c>
      <c r="D29" s="36">
        <v>5864489.9199999999</v>
      </c>
      <c r="E29" s="36">
        <f t="shared" ref="E29:E32" si="3">F29-D29</f>
        <v>9361684.1600000001</v>
      </c>
      <c r="F29" s="37">
        <v>15226174.08</v>
      </c>
      <c r="G29" s="37">
        <v>16282055.279999999</v>
      </c>
    </row>
    <row r="30" spans="1:10" ht="18">
      <c r="A30" s="338" t="s">
        <v>62</v>
      </c>
      <c r="B30" s="425" t="s">
        <v>63</v>
      </c>
      <c r="C30" s="36">
        <v>260700</v>
      </c>
      <c r="D30" s="36">
        <v>233400</v>
      </c>
      <c r="E30" s="36">
        <f t="shared" si="3"/>
        <v>85800</v>
      </c>
      <c r="F30" s="37">
        <v>319200</v>
      </c>
      <c r="G30" s="37">
        <v>638400</v>
      </c>
    </row>
    <row r="31" spans="1:10" ht="18">
      <c r="A31" s="338" t="s">
        <v>64</v>
      </c>
      <c r="B31" s="425" t="s">
        <v>65</v>
      </c>
      <c r="C31" s="36">
        <v>1899749.42</v>
      </c>
      <c r="D31" s="36">
        <v>1309252.28</v>
      </c>
      <c r="E31" s="36">
        <f t="shared" si="3"/>
        <v>1445452.84</v>
      </c>
      <c r="F31" s="37">
        <v>2754705.12</v>
      </c>
      <c r="G31" s="37">
        <v>3307826.53</v>
      </c>
      <c r="J31" s="558"/>
    </row>
    <row r="32" spans="1:10" ht="18">
      <c r="A32" s="341" t="s">
        <v>66</v>
      </c>
      <c r="B32" s="749" t="s">
        <v>67</v>
      </c>
      <c r="C32" s="72">
        <v>260700</v>
      </c>
      <c r="D32" s="72">
        <v>127500</v>
      </c>
      <c r="E32" s="72">
        <f t="shared" si="3"/>
        <v>191700</v>
      </c>
      <c r="F32" s="123">
        <v>319200</v>
      </c>
      <c r="G32" s="123">
        <f>G30/2</f>
        <v>319200</v>
      </c>
    </row>
    <row r="33" spans="1:10" ht="18">
      <c r="A33" s="333" t="s">
        <v>589</v>
      </c>
      <c r="B33" s="750"/>
      <c r="C33" s="78"/>
      <c r="D33" s="78"/>
      <c r="E33" s="78"/>
      <c r="F33" s="121"/>
      <c r="G33" s="121"/>
    </row>
    <row r="34" spans="1:10" ht="18.75" thickBot="1">
      <c r="A34" s="338" t="s">
        <v>558</v>
      </c>
      <c r="B34" s="356" t="s">
        <v>520</v>
      </c>
      <c r="C34" s="154">
        <v>0</v>
      </c>
      <c r="D34" s="154">
        <v>0</v>
      </c>
      <c r="E34" s="154">
        <v>0</v>
      </c>
      <c r="F34" s="155">
        <v>0</v>
      </c>
      <c r="G34" s="49">
        <v>0</v>
      </c>
    </row>
    <row r="35" spans="1:10" ht="19.5" thickTop="1" thickBot="1">
      <c r="A35" s="351" t="s">
        <v>71</v>
      </c>
      <c r="B35" s="352"/>
      <c r="C35" s="75">
        <f t="shared" ref="C35:F35" si="4">SUM(C13:C32)</f>
        <v>147099379.74999997</v>
      </c>
      <c r="D35" s="75">
        <f t="shared" si="4"/>
        <v>73297575.909999996</v>
      </c>
      <c r="E35" s="75">
        <f t="shared" si="4"/>
        <v>119231428.29000001</v>
      </c>
      <c r="F35" s="75">
        <f t="shared" si="4"/>
        <v>192529004.20000002</v>
      </c>
      <c r="G35" s="77">
        <f>SUM(G13:G34)</f>
        <v>206456380.25999999</v>
      </c>
      <c r="J35" s="558"/>
    </row>
    <row r="36" spans="1:10" ht="18.75" thickTop="1">
      <c r="A36" s="355" t="s">
        <v>72</v>
      </c>
      <c r="B36" s="356"/>
      <c r="C36" s="905"/>
      <c r="D36" s="905"/>
      <c r="E36" s="905"/>
      <c r="F36" s="547"/>
      <c r="G36" s="327"/>
    </row>
    <row r="37" spans="1:10" ht="18">
      <c r="A37" s="489" t="s">
        <v>377</v>
      </c>
      <c r="B37" s="957" t="s">
        <v>74</v>
      </c>
      <c r="C37" s="156">
        <v>0</v>
      </c>
      <c r="D37" s="156">
        <v>0</v>
      </c>
      <c r="E37" s="156">
        <v>0</v>
      </c>
      <c r="F37" s="958">
        <v>0</v>
      </c>
      <c r="G37" s="80">
        <v>800000</v>
      </c>
    </row>
    <row r="38" spans="1:10" ht="18">
      <c r="A38" s="489" t="s">
        <v>75</v>
      </c>
      <c r="B38" s="957" t="s">
        <v>76</v>
      </c>
      <c r="C38" s="156">
        <v>0</v>
      </c>
      <c r="D38" s="156">
        <v>0</v>
      </c>
      <c r="E38" s="156">
        <v>0</v>
      </c>
      <c r="F38" s="958">
        <v>0</v>
      </c>
      <c r="G38" s="80">
        <v>3313720</v>
      </c>
    </row>
    <row r="39" spans="1:10" ht="18">
      <c r="A39" s="489" t="s">
        <v>224</v>
      </c>
      <c r="B39" s="959" t="s">
        <v>78</v>
      </c>
      <c r="C39" s="156">
        <v>0</v>
      </c>
      <c r="D39" s="157">
        <v>942464.5</v>
      </c>
      <c r="E39" s="36">
        <f t="shared" ref="E39:E51" si="5">F39-D39</f>
        <v>2857535.5</v>
      </c>
      <c r="F39" s="37">
        <v>3800000</v>
      </c>
      <c r="G39" s="960">
        <v>2000000</v>
      </c>
    </row>
    <row r="40" spans="1:10" ht="18">
      <c r="A40" s="961" t="s">
        <v>523</v>
      </c>
      <c r="B40" s="959" t="s">
        <v>471</v>
      </c>
      <c r="C40" s="156">
        <v>0</v>
      </c>
      <c r="D40" s="156">
        <v>0</v>
      </c>
      <c r="E40" s="156">
        <v>0</v>
      </c>
      <c r="F40" s="958">
        <v>0</v>
      </c>
      <c r="G40" s="960">
        <v>4343500</v>
      </c>
    </row>
    <row r="41" spans="1:10" ht="18">
      <c r="A41" s="961" t="s">
        <v>443</v>
      </c>
      <c r="B41" s="962" t="s">
        <v>444</v>
      </c>
      <c r="C41" s="156">
        <v>0</v>
      </c>
      <c r="D41" s="159">
        <v>950000</v>
      </c>
      <c r="E41" s="36">
        <f t="shared" si="5"/>
        <v>29843942</v>
      </c>
      <c r="F41" s="37">
        <v>30793942</v>
      </c>
      <c r="G41" s="960">
        <v>22000000</v>
      </c>
    </row>
    <row r="42" spans="1:10" ht="36">
      <c r="A42" s="963" t="s">
        <v>445</v>
      </c>
      <c r="B42" s="964" t="s">
        <v>446</v>
      </c>
      <c r="C42" s="156">
        <v>0</v>
      </c>
      <c r="D42" s="160">
        <v>21780</v>
      </c>
      <c r="E42" s="36">
        <f t="shared" si="5"/>
        <v>18178220</v>
      </c>
      <c r="F42" s="37">
        <v>18200000</v>
      </c>
      <c r="G42" s="960">
        <v>15000000</v>
      </c>
    </row>
    <row r="43" spans="1:10" ht="18">
      <c r="A43" s="359" t="s">
        <v>79</v>
      </c>
      <c r="B43" s="964" t="s">
        <v>80</v>
      </c>
      <c r="C43" s="156">
        <v>0</v>
      </c>
      <c r="D43" s="159">
        <v>262722.43</v>
      </c>
      <c r="E43" s="36">
        <f t="shared" si="5"/>
        <v>1737277.57</v>
      </c>
      <c r="F43" s="37">
        <v>2000000</v>
      </c>
      <c r="G43" s="960">
        <v>1029077</v>
      </c>
    </row>
    <row r="44" spans="1:10" ht="18">
      <c r="A44" s="961" t="s">
        <v>81</v>
      </c>
      <c r="B44" s="962" t="s">
        <v>82</v>
      </c>
      <c r="C44" s="156">
        <v>0</v>
      </c>
      <c r="D44" s="159">
        <v>0</v>
      </c>
      <c r="E44" s="36">
        <f t="shared" si="5"/>
        <v>2000000</v>
      </c>
      <c r="F44" s="37">
        <v>2000000</v>
      </c>
      <c r="G44" s="960">
        <v>1700000</v>
      </c>
    </row>
    <row r="45" spans="1:10" ht="18">
      <c r="A45" s="961" t="s">
        <v>217</v>
      </c>
      <c r="B45" s="962" t="s">
        <v>84</v>
      </c>
      <c r="C45" s="156">
        <v>0</v>
      </c>
      <c r="D45" s="159">
        <v>0</v>
      </c>
      <c r="E45" s="159">
        <v>0</v>
      </c>
      <c r="F45" s="159">
        <v>0</v>
      </c>
      <c r="G45" s="158">
        <v>35000</v>
      </c>
    </row>
    <row r="46" spans="1:10" ht="18">
      <c r="A46" s="961" t="s">
        <v>239</v>
      </c>
      <c r="B46" s="962" t="s">
        <v>94</v>
      </c>
      <c r="C46" s="156">
        <v>0</v>
      </c>
      <c r="D46" s="161">
        <v>52883713.280000001</v>
      </c>
      <c r="E46" s="36">
        <f t="shared" si="5"/>
        <v>61730148.719999999</v>
      </c>
      <c r="F46" s="67">
        <v>114613862</v>
      </c>
      <c r="G46" s="162">
        <v>65723105</v>
      </c>
    </row>
    <row r="47" spans="1:10" ht="18">
      <c r="A47" s="961" t="s">
        <v>199</v>
      </c>
      <c r="B47" s="962" t="s">
        <v>200</v>
      </c>
      <c r="C47" s="163">
        <v>35572886.700000003</v>
      </c>
      <c r="D47" s="161">
        <v>28056288.760000002</v>
      </c>
      <c r="E47" s="36">
        <f t="shared" si="5"/>
        <v>34803907.239999995</v>
      </c>
      <c r="F47" s="67">
        <v>62860196</v>
      </c>
      <c r="G47" s="162">
        <v>37598721</v>
      </c>
    </row>
    <row r="48" spans="1:10" ht="36">
      <c r="A48" s="963" t="s">
        <v>447</v>
      </c>
      <c r="B48" s="962" t="s">
        <v>336</v>
      </c>
      <c r="C48" s="156"/>
      <c r="D48" s="159">
        <v>0</v>
      </c>
      <c r="E48" s="36">
        <f t="shared" si="5"/>
        <v>800000</v>
      </c>
      <c r="F48" s="67">
        <v>800000</v>
      </c>
      <c r="G48" s="158">
        <v>1200000</v>
      </c>
    </row>
    <row r="49" spans="1:12" ht="36">
      <c r="A49" s="963" t="s">
        <v>448</v>
      </c>
      <c r="B49" s="962" t="s">
        <v>241</v>
      </c>
      <c r="C49" s="156"/>
      <c r="D49" s="159">
        <v>0</v>
      </c>
      <c r="E49" s="36">
        <f t="shared" si="5"/>
        <v>1500000</v>
      </c>
      <c r="F49" s="67">
        <v>1500000</v>
      </c>
      <c r="G49" s="158">
        <v>1000000</v>
      </c>
    </row>
    <row r="50" spans="1:12" ht="36">
      <c r="A50" s="963" t="s">
        <v>449</v>
      </c>
      <c r="B50" s="962" t="s">
        <v>243</v>
      </c>
      <c r="C50" s="156"/>
      <c r="D50" s="159">
        <v>0</v>
      </c>
      <c r="E50" s="36">
        <f t="shared" si="5"/>
        <v>500000</v>
      </c>
      <c r="F50" s="67">
        <v>500000</v>
      </c>
      <c r="G50" s="158">
        <v>501179.46</v>
      </c>
    </row>
    <row r="51" spans="1:12" ht="18">
      <c r="A51" s="489" t="s">
        <v>96</v>
      </c>
      <c r="B51" s="627" t="s">
        <v>97</v>
      </c>
      <c r="C51" s="164"/>
      <c r="D51" s="165">
        <v>45936</v>
      </c>
      <c r="E51" s="36">
        <f t="shared" si="5"/>
        <v>454064</v>
      </c>
      <c r="F51" s="56">
        <v>500000</v>
      </c>
      <c r="G51" s="158">
        <v>0</v>
      </c>
    </row>
    <row r="52" spans="1:12" ht="18.75" thickBot="1">
      <c r="A52" s="965" t="s">
        <v>108</v>
      </c>
      <c r="B52" s="966" t="s">
        <v>109</v>
      </c>
      <c r="C52" s="166">
        <v>30840644.34</v>
      </c>
      <c r="D52" s="154">
        <v>0</v>
      </c>
      <c r="E52" s="154">
        <v>0</v>
      </c>
      <c r="F52" s="167">
        <v>0</v>
      </c>
      <c r="G52" s="158">
        <v>0</v>
      </c>
    </row>
    <row r="53" spans="1:12" ht="19.5" thickTop="1" thickBot="1">
      <c r="A53" s="351" t="s">
        <v>162</v>
      </c>
      <c r="B53" s="367"/>
      <c r="C53" s="75">
        <f>SUM(C39:C52)</f>
        <v>66413531.040000007</v>
      </c>
      <c r="D53" s="75">
        <f t="shared" ref="D53:F53" si="6">SUM(D39:D52)</f>
        <v>83162904.969999999</v>
      </c>
      <c r="E53" s="75">
        <f t="shared" si="6"/>
        <v>154405095.02999997</v>
      </c>
      <c r="F53" s="168">
        <f t="shared" si="6"/>
        <v>237568000</v>
      </c>
      <c r="G53" s="75">
        <f>SUM(G37:G52)</f>
        <v>156244302.46000001</v>
      </c>
      <c r="J53" s="558">
        <f>F53*0.35</f>
        <v>83148800</v>
      </c>
      <c r="L53" s="558">
        <f>F53-J53</f>
        <v>154419200</v>
      </c>
    </row>
    <row r="54" spans="1:12" ht="18.75" thickTop="1">
      <c r="A54" s="967"/>
      <c r="B54" s="404"/>
      <c r="C54" s="727"/>
      <c r="D54" s="727"/>
      <c r="E54" s="727"/>
      <c r="F54" s="968"/>
      <c r="G54" s="969"/>
    </row>
    <row r="55" spans="1:12" ht="18">
      <c r="A55" s="970" t="s">
        <v>172</v>
      </c>
      <c r="B55" s="335"/>
      <c r="C55" s="736"/>
      <c r="D55" s="736"/>
      <c r="E55" s="736"/>
      <c r="F55" s="971"/>
      <c r="G55" s="972"/>
    </row>
    <row r="56" spans="1:12" ht="34.5">
      <c r="A56" s="973" t="s">
        <v>452</v>
      </c>
      <c r="B56" s="335"/>
      <c r="C56" s="729">
        <v>26345283.800000001</v>
      </c>
      <c r="D56" s="729">
        <v>347474.86</v>
      </c>
      <c r="E56" s="729">
        <f>30334219.4-D56</f>
        <v>29986744.539999999</v>
      </c>
      <c r="F56" s="974">
        <v>30334219.399999999</v>
      </c>
      <c r="G56" s="975">
        <f>G59+G60+G61+G62+G63+G64+G65+G66+G67</f>
        <v>35908866.630000003</v>
      </c>
    </row>
    <row r="57" spans="1:12" ht="18">
      <c r="A57" s="976" t="s">
        <v>590</v>
      </c>
      <c r="B57" s="335"/>
      <c r="C57" s="729"/>
      <c r="D57" s="729"/>
      <c r="E57" s="729"/>
      <c r="F57" s="974"/>
      <c r="G57" s="975"/>
    </row>
    <row r="58" spans="1:12" ht="18">
      <c r="A58" s="961" t="s">
        <v>233</v>
      </c>
      <c r="B58" s="335" t="s">
        <v>109</v>
      </c>
      <c r="C58" s="729"/>
      <c r="D58" s="729"/>
      <c r="E58" s="729"/>
      <c r="F58" s="974"/>
      <c r="G58" s="975"/>
    </row>
    <row r="59" spans="1:12" ht="18">
      <c r="A59" s="977" t="s">
        <v>591</v>
      </c>
      <c r="B59" s="335"/>
      <c r="C59" s="143"/>
      <c r="D59" s="143"/>
      <c r="E59" s="38"/>
      <c r="F59" s="169"/>
      <c r="G59" s="170">
        <v>500000</v>
      </c>
      <c r="J59" s="122">
        <f>249710+3650977.8+249764+17647224+2250000+2250000+47608</f>
        <v>26345283.800000001</v>
      </c>
    </row>
    <row r="60" spans="1:12" ht="18">
      <c r="A60" s="978" t="s">
        <v>592</v>
      </c>
      <c r="B60" s="335"/>
      <c r="C60" s="143"/>
      <c r="D60" s="143"/>
      <c r="E60" s="38"/>
      <c r="F60" s="171"/>
      <c r="G60" s="172">
        <v>500000</v>
      </c>
    </row>
    <row r="61" spans="1:12" ht="18">
      <c r="A61" s="977" t="s">
        <v>593</v>
      </c>
      <c r="B61" s="335"/>
      <c r="C61" s="143"/>
      <c r="D61" s="143"/>
      <c r="E61" s="38"/>
      <c r="F61" s="171"/>
      <c r="G61" s="172">
        <v>3800000</v>
      </c>
    </row>
    <row r="62" spans="1:12" ht="18">
      <c r="A62" s="977" t="s">
        <v>453</v>
      </c>
      <c r="B62" s="335"/>
      <c r="C62" s="143"/>
      <c r="D62" s="143"/>
      <c r="E62" s="38"/>
      <c r="F62" s="171"/>
      <c r="G62" s="172">
        <v>1500000</v>
      </c>
    </row>
    <row r="63" spans="1:12" ht="34.15" customHeight="1">
      <c r="A63" s="977" t="s">
        <v>594</v>
      </c>
      <c r="B63" s="335"/>
      <c r="C63" s="143"/>
      <c r="D63" s="143"/>
      <c r="E63" s="38"/>
      <c r="F63" s="171"/>
      <c r="G63" s="172">
        <v>4750000</v>
      </c>
    </row>
    <row r="64" spans="1:12" ht="36">
      <c r="A64" s="977" t="s">
        <v>595</v>
      </c>
      <c r="B64" s="335"/>
      <c r="C64" s="143"/>
      <c r="D64" s="143"/>
      <c r="E64" s="38"/>
      <c r="F64" s="171"/>
      <c r="G64" s="172">
        <v>4200000</v>
      </c>
    </row>
    <row r="65" spans="1:7" ht="18">
      <c r="A65" s="977" t="s">
        <v>596</v>
      </c>
      <c r="B65" s="335"/>
      <c r="C65" s="143"/>
      <c r="D65" s="143"/>
      <c r="E65" s="38"/>
      <c r="F65" s="171"/>
      <c r="G65" s="172">
        <v>11658866.630000001</v>
      </c>
    </row>
    <row r="66" spans="1:7" ht="36">
      <c r="A66" s="977" t="s">
        <v>454</v>
      </c>
      <c r="B66" s="335"/>
      <c r="C66" s="143"/>
      <c r="D66" s="143"/>
      <c r="E66" s="38"/>
      <c r="F66" s="171"/>
      <c r="G66" s="172">
        <v>5000000</v>
      </c>
    </row>
    <row r="67" spans="1:7" ht="18.75" thickBot="1">
      <c r="A67" s="977" t="s">
        <v>455</v>
      </c>
      <c r="B67" s="335"/>
      <c r="C67" s="143"/>
      <c r="D67" s="143"/>
      <c r="E67" s="38"/>
      <c r="F67" s="171"/>
      <c r="G67" s="172">
        <v>4000000</v>
      </c>
    </row>
    <row r="68" spans="1:7" ht="19.5" thickTop="1" thickBot="1">
      <c r="A68" s="351" t="s">
        <v>180</v>
      </c>
      <c r="B68" s="803"/>
      <c r="C68" s="112">
        <f>C56</f>
        <v>26345283.800000001</v>
      </c>
      <c r="D68" s="112">
        <f>D56</f>
        <v>347474.86</v>
      </c>
      <c r="E68" s="112">
        <f>E56</f>
        <v>29986744.539999999</v>
      </c>
      <c r="F68" s="173">
        <f>F56</f>
        <v>30334219.399999999</v>
      </c>
      <c r="G68" s="979">
        <f>SUM(G59:G67)</f>
        <v>35908866.630000003</v>
      </c>
    </row>
    <row r="69" spans="1:7" ht="19.5" thickTop="1" thickBot="1">
      <c r="A69" s="351" t="s">
        <v>181</v>
      </c>
      <c r="B69" s="367"/>
      <c r="C69" s="75">
        <f t="shared" ref="C69:F69" si="7">C68+C53+C35</f>
        <v>239858194.58999997</v>
      </c>
      <c r="D69" s="75">
        <f t="shared" si="7"/>
        <v>156807955.74000001</v>
      </c>
      <c r="E69" s="75">
        <f t="shared" si="7"/>
        <v>303623267.85999995</v>
      </c>
      <c r="F69" s="75">
        <f t="shared" si="7"/>
        <v>460431223.60000002</v>
      </c>
      <c r="G69" s="75">
        <f>G68+G53+G35</f>
        <v>398609549.35000002</v>
      </c>
    </row>
    <row r="70" spans="1:7" ht="18.75" thickTop="1">
      <c r="A70" s="980"/>
      <c r="B70" s="553"/>
      <c r="C70" s="175"/>
      <c r="D70" s="175"/>
      <c r="E70" s="176"/>
      <c r="F70" s="175"/>
      <c r="G70" s="177"/>
    </row>
    <row r="71" spans="1:7" ht="18">
      <c r="A71" s="980"/>
      <c r="B71" s="553"/>
      <c r="C71" s="175"/>
      <c r="D71" s="175"/>
      <c r="E71" s="176"/>
      <c r="F71" s="175"/>
      <c r="G71" s="177"/>
    </row>
    <row r="72" spans="1:7" ht="16.5">
      <c r="A72" s="1238" t="s">
        <v>218</v>
      </c>
      <c r="B72" s="1238"/>
      <c r="C72" s="1238"/>
      <c r="D72" s="1238"/>
      <c r="E72" s="1238"/>
      <c r="F72" s="1238"/>
      <c r="G72" s="1238"/>
    </row>
    <row r="73" spans="1:7" ht="18">
      <c r="A73" s="317"/>
      <c r="B73" s="317"/>
      <c r="C73" s="577"/>
      <c r="D73" s="577"/>
      <c r="E73" s="981"/>
      <c r="G73" s="317"/>
    </row>
    <row r="74" spans="1:7" ht="18">
      <c r="A74" s="317"/>
      <c r="B74" s="317"/>
      <c r="C74" s="577"/>
      <c r="D74" s="577"/>
      <c r="E74" s="981"/>
      <c r="G74" s="317"/>
    </row>
    <row r="75" spans="1:7" ht="18">
      <c r="A75" s="317"/>
      <c r="B75" s="317"/>
      <c r="C75" s="577"/>
      <c r="D75" s="577"/>
      <c r="E75" s="981"/>
      <c r="G75" s="317"/>
    </row>
    <row r="76" spans="1:7" ht="18">
      <c r="A76" s="317" t="s">
        <v>183</v>
      </c>
      <c r="B76" s="317" t="s">
        <v>184</v>
      </c>
      <c r="C76" s="577"/>
      <c r="D76" s="577"/>
      <c r="E76" s="1300" t="s">
        <v>185</v>
      </c>
      <c r="F76" s="1300"/>
      <c r="G76" s="317"/>
    </row>
    <row r="77" spans="1:7" ht="18">
      <c r="A77" s="317"/>
      <c r="B77" s="317"/>
      <c r="C77" s="577"/>
      <c r="D77" s="577"/>
      <c r="E77" s="981"/>
      <c r="G77" s="317"/>
    </row>
    <row r="78" spans="1:7" ht="18">
      <c r="A78" s="317"/>
      <c r="B78" s="317"/>
      <c r="C78" s="577"/>
      <c r="D78" s="577"/>
      <c r="E78" s="981"/>
      <c r="G78" s="317"/>
    </row>
    <row r="79" spans="1:7" ht="18">
      <c r="A79" s="317"/>
      <c r="B79" s="317"/>
      <c r="C79" s="577"/>
      <c r="D79" s="577"/>
      <c r="E79" s="981"/>
      <c r="G79" s="317"/>
    </row>
    <row r="80" spans="1:7" ht="18">
      <c r="A80" s="317"/>
      <c r="B80" s="317"/>
      <c r="C80" s="577"/>
      <c r="D80" s="577"/>
      <c r="E80" s="981"/>
      <c r="G80" s="317"/>
    </row>
    <row r="81" spans="1:7" ht="18">
      <c r="A81" s="317"/>
      <c r="B81" s="317"/>
      <c r="C81" s="577"/>
      <c r="D81" s="577"/>
      <c r="E81" s="981"/>
      <c r="G81" s="317"/>
    </row>
    <row r="82" spans="1:7" ht="18">
      <c r="A82" s="317"/>
      <c r="B82" s="317"/>
      <c r="C82" s="577"/>
      <c r="D82" s="577"/>
      <c r="E82" s="981"/>
      <c r="G82" s="317"/>
    </row>
    <row r="83" spans="1:7" ht="18">
      <c r="A83" s="309" t="s">
        <v>456</v>
      </c>
      <c r="B83" s="1239" t="s">
        <v>187</v>
      </c>
      <c r="C83" s="1239"/>
      <c r="D83" s="1239"/>
      <c r="E83" s="369"/>
      <c r="F83" s="370" t="s">
        <v>188</v>
      </c>
      <c r="G83" s="370"/>
    </row>
    <row r="84" spans="1:7" ht="18">
      <c r="A84" s="371" t="s">
        <v>457</v>
      </c>
      <c r="B84" s="1235" t="s">
        <v>190</v>
      </c>
      <c r="C84" s="1235"/>
      <c r="D84" s="1235"/>
      <c r="E84" s="372"/>
      <c r="F84" s="1299" t="s">
        <v>191</v>
      </c>
      <c r="G84" s="1299"/>
    </row>
    <row r="85" spans="1:7" ht="18">
      <c r="A85" s="317"/>
      <c r="B85" s="317"/>
      <c r="C85" s="577"/>
      <c r="D85" s="577"/>
      <c r="E85" s="577"/>
      <c r="F85" s="317"/>
      <c r="G85" s="317"/>
    </row>
    <row r="86" spans="1:7" ht="18">
      <c r="A86" s="317"/>
      <c r="B86" s="317"/>
      <c r="C86" s="577"/>
      <c r="D86" s="577"/>
      <c r="E86" s="577"/>
      <c r="F86" s="317"/>
      <c r="G86" s="317"/>
    </row>
    <row r="87" spans="1:7" ht="18">
      <c r="A87" s="317"/>
      <c r="B87" s="317"/>
      <c r="C87" s="577"/>
      <c r="D87" s="577"/>
      <c r="E87" s="577"/>
      <c r="F87" s="317"/>
      <c r="G87" s="317"/>
    </row>
    <row r="88" spans="1:7" ht="18">
      <c r="A88" s="317"/>
      <c r="B88" s="317"/>
      <c r="C88" s="577"/>
      <c r="D88" s="577"/>
      <c r="E88" s="577"/>
      <c r="F88" s="317"/>
      <c r="G88" s="317"/>
    </row>
    <row r="89" spans="1:7" ht="18">
      <c r="A89" s="317"/>
      <c r="B89" s="317"/>
      <c r="C89" s="577"/>
      <c r="D89" s="577"/>
      <c r="E89" s="577"/>
      <c r="F89" s="317"/>
      <c r="G89" s="317"/>
    </row>
    <row r="90" spans="1:7" ht="18">
      <c r="A90" s="317"/>
      <c r="B90" s="317"/>
      <c r="C90" s="577"/>
      <c r="D90" s="577"/>
      <c r="E90" s="577"/>
      <c r="F90" s="317"/>
      <c r="G90" s="317"/>
    </row>
    <row r="91" spans="1:7" ht="18">
      <c r="A91" s="317"/>
      <c r="B91" s="317"/>
      <c r="C91" s="577"/>
      <c r="D91" s="577"/>
      <c r="E91" s="577"/>
      <c r="F91" s="317"/>
      <c r="G91" s="317"/>
    </row>
    <row r="92" spans="1:7" ht="18">
      <c r="A92" s="317"/>
      <c r="B92" s="317"/>
      <c r="C92" s="577"/>
      <c r="D92" s="577"/>
      <c r="E92" s="577"/>
      <c r="F92" s="317"/>
      <c r="G92" s="317"/>
    </row>
    <row r="93" spans="1:7" ht="18">
      <c r="A93" s="317"/>
      <c r="B93" s="317"/>
      <c r="C93" s="577"/>
      <c r="D93" s="577"/>
      <c r="E93" s="577"/>
      <c r="F93" s="317"/>
      <c r="G93" s="317"/>
    </row>
    <row r="94" spans="1:7" ht="18">
      <c r="A94" s="317"/>
      <c r="B94" s="317"/>
      <c r="C94" s="577"/>
      <c r="D94" s="577"/>
      <c r="E94" s="577"/>
      <c r="F94" s="317"/>
      <c r="G94" s="317"/>
    </row>
    <row r="95" spans="1:7" ht="18">
      <c r="A95" s="317"/>
      <c r="B95" s="317"/>
      <c r="C95" s="577"/>
      <c r="D95" s="577"/>
      <c r="E95" s="577"/>
      <c r="F95" s="317"/>
      <c r="G95" s="317"/>
    </row>
    <row r="96" spans="1:7" ht="18">
      <c r="A96" s="317"/>
      <c r="B96" s="317"/>
      <c r="C96" s="577"/>
      <c r="D96" s="577"/>
      <c r="E96" s="577"/>
      <c r="F96" s="317"/>
      <c r="G96" s="317"/>
    </row>
    <row r="97" spans="1:7" ht="18">
      <c r="A97" s="317"/>
      <c r="B97" s="317"/>
      <c r="C97" s="577"/>
      <c r="D97" s="577"/>
      <c r="E97" s="577"/>
      <c r="F97" s="317"/>
      <c r="G97" s="317"/>
    </row>
    <row r="98" spans="1:7" ht="18">
      <c r="A98" s="317"/>
      <c r="B98" s="317"/>
      <c r="C98" s="577"/>
      <c r="D98" s="577"/>
      <c r="E98" s="577"/>
      <c r="F98" s="317"/>
      <c r="G98" s="317"/>
    </row>
    <row r="99" spans="1:7" ht="18">
      <c r="A99" s="317"/>
      <c r="B99" s="317"/>
      <c r="C99" s="577"/>
      <c r="D99" s="577"/>
      <c r="E99" s="577"/>
      <c r="F99" s="317"/>
      <c r="G99" s="317"/>
    </row>
    <row r="100" spans="1:7" ht="18">
      <c r="A100" s="317"/>
      <c r="B100" s="317"/>
      <c r="C100" s="577"/>
      <c r="D100" s="577"/>
      <c r="E100" s="577"/>
      <c r="F100" s="317"/>
      <c r="G100" s="317"/>
    </row>
    <row r="101" spans="1:7" ht="18">
      <c r="A101" s="317"/>
      <c r="B101" s="317"/>
      <c r="C101" s="577"/>
      <c r="D101" s="577"/>
      <c r="E101" s="577"/>
      <c r="F101" s="317"/>
      <c r="G101" s="317"/>
    </row>
    <row r="102" spans="1:7" ht="18">
      <c r="A102" s="317"/>
      <c r="B102" s="317"/>
      <c r="C102" s="577"/>
      <c r="D102" s="577"/>
      <c r="E102" s="577"/>
      <c r="F102" s="317"/>
      <c r="G102" s="317"/>
    </row>
    <row r="103" spans="1:7" ht="18">
      <c r="A103" s="317"/>
      <c r="B103" s="317"/>
      <c r="C103" s="577"/>
      <c r="D103" s="577"/>
      <c r="E103" s="577"/>
      <c r="F103" s="317"/>
      <c r="G103" s="317"/>
    </row>
    <row r="104" spans="1:7" ht="18">
      <c r="A104" s="317"/>
      <c r="B104" s="317"/>
      <c r="C104" s="577"/>
      <c r="D104" s="577"/>
      <c r="E104" s="577"/>
      <c r="F104" s="317"/>
      <c r="G104" s="317"/>
    </row>
    <row r="105" spans="1:7" ht="18">
      <c r="A105" s="317"/>
      <c r="B105" s="317"/>
      <c r="C105" s="577"/>
      <c r="D105" s="577"/>
      <c r="E105" s="577"/>
      <c r="F105" s="317"/>
      <c r="G105" s="317"/>
    </row>
    <row r="106" spans="1:7" ht="18">
      <c r="A106" s="317"/>
      <c r="B106" s="317"/>
      <c r="C106" s="577"/>
      <c r="D106" s="577"/>
      <c r="E106" s="577"/>
      <c r="F106" s="317"/>
      <c r="G106" s="317"/>
    </row>
    <row r="107" spans="1:7" ht="18">
      <c r="A107" s="317"/>
      <c r="B107" s="317"/>
      <c r="C107" s="577"/>
      <c r="D107" s="577"/>
      <c r="E107" s="577"/>
      <c r="F107" s="317"/>
      <c r="G107" s="317"/>
    </row>
    <row r="108" spans="1:7" ht="18">
      <c r="A108" s="317"/>
      <c r="B108" s="317"/>
      <c r="C108" s="577"/>
      <c r="D108" s="577"/>
      <c r="E108" s="577"/>
      <c r="F108" s="317"/>
      <c r="G108" s="317"/>
    </row>
    <row r="109" spans="1:7" ht="18">
      <c r="A109" s="317"/>
      <c r="B109" s="317"/>
      <c r="C109" s="577"/>
      <c r="D109" s="577"/>
      <c r="E109" s="577"/>
      <c r="F109" s="317"/>
      <c r="G109" s="317"/>
    </row>
    <row r="110" spans="1:7" ht="18">
      <c r="A110" s="317"/>
      <c r="B110" s="317"/>
      <c r="C110" s="577"/>
      <c r="D110" s="577"/>
      <c r="E110" s="577"/>
      <c r="F110" s="317"/>
      <c r="G110" s="317"/>
    </row>
    <row r="111" spans="1:7" ht="18">
      <c r="A111" s="317"/>
      <c r="B111" s="317"/>
      <c r="C111" s="577"/>
      <c r="D111" s="577"/>
      <c r="E111" s="577"/>
      <c r="F111" s="317"/>
      <c r="G111" s="317"/>
    </row>
    <row r="112" spans="1:7" ht="18">
      <c r="A112" s="317"/>
      <c r="B112" s="317"/>
      <c r="C112" s="577"/>
      <c r="D112" s="577"/>
      <c r="E112" s="577"/>
      <c r="F112" s="317"/>
      <c r="G112" s="317"/>
    </row>
    <row r="113" spans="1:7" ht="18">
      <c r="A113" s="317"/>
      <c r="B113" s="317"/>
      <c r="C113" s="577"/>
      <c r="D113" s="577"/>
      <c r="E113" s="577"/>
      <c r="F113" s="317"/>
      <c r="G113" s="317"/>
    </row>
    <row r="114" spans="1:7" ht="18">
      <c r="A114" s="317"/>
      <c r="B114" s="317"/>
      <c r="C114" s="577"/>
      <c r="D114" s="577"/>
      <c r="E114" s="577"/>
      <c r="F114" s="317"/>
      <c r="G114" s="317"/>
    </row>
    <row r="115" spans="1:7" ht="18">
      <c r="A115" s="317"/>
      <c r="B115" s="317"/>
      <c r="C115" s="577"/>
      <c r="D115" s="577"/>
      <c r="E115" s="577"/>
      <c r="F115" s="317"/>
      <c r="G115" s="317"/>
    </row>
    <row r="116" spans="1:7" ht="18">
      <c r="A116" s="317"/>
      <c r="B116" s="317"/>
      <c r="C116" s="577"/>
      <c r="D116" s="577"/>
      <c r="E116" s="577"/>
      <c r="F116" s="317"/>
      <c r="G116" s="317"/>
    </row>
    <row r="117" spans="1:7" ht="18">
      <c r="A117" s="317"/>
      <c r="B117" s="317"/>
      <c r="C117" s="577"/>
      <c r="D117" s="577"/>
      <c r="E117" s="1300"/>
      <c r="F117" s="1300"/>
      <c r="G117" s="317"/>
    </row>
    <row r="118" spans="1:7" ht="18">
      <c r="A118" s="317"/>
      <c r="B118" s="317"/>
      <c r="C118" s="577"/>
      <c r="D118" s="577"/>
      <c r="E118" s="981"/>
      <c r="G118" s="317"/>
    </row>
    <row r="119" spans="1:7" ht="18">
      <c r="A119" s="317"/>
      <c r="B119" s="317"/>
      <c r="C119" s="577"/>
      <c r="D119" s="577"/>
      <c r="E119" s="981"/>
      <c r="G119" s="317"/>
    </row>
    <row r="120" spans="1:7" ht="18">
      <c r="A120" s="317"/>
      <c r="B120" s="317"/>
      <c r="C120" s="577"/>
      <c r="D120" s="577"/>
      <c r="E120" s="981"/>
      <c r="G120" s="317"/>
    </row>
    <row r="121" spans="1:7" ht="18">
      <c r="A121" s="317"/>
      <c r="B121" s="317"/>
      <c r="C121" s="577"/>
      <c r="D121" s="577"/>
      <c r="E121" s="981"/>
      <c r="G121" s="317"/>
    </row>
    <row r="122" spans="1:7" ht="18">
      <c r="A122" s="317"/>
      <c r="B122" s="317"/>
      <c r="C122" s="577"/>
      <c r="D122" s="577"/>
      <c r="E122" s="981"/>
      <c r="G122" s="317"/>
    </row>
    <row r="123" spans="1:7" ht="18">
      <c r="A123" s="317"/>
      <c r="B123" s="317"/>
      <c r="C123" s="577"/>
      <c r="D123" s="577"/>
      <c r="E123" s="981"/>
      <c r="G123" s="317"/>
    </row>
    <row r="124" spans="1:7" ht="17.45" customHeight="1">
      <c r="A124" s="309"/>
      <c r="B124" s="1239"/>
      <c r="C124" s="1239"/>
      <c r="D124" s="1239"/>
      <c r="E124" s="369"/>
      <c r="F124" s="370"/>
      <c r="G124" s="370"/>
    </row>
    <row r="125" spans="1:7" ht="17.45" customHeight="1">
      <c r="A125" s="371"/>
      <c r="B125" s="1235"/>
      <c r="C125" s="1235"/>
      <c r="D125" s="1235"/>
      <c r="E125" s="372"/>
      <c r="F125" s="1299"/>
      <c r="G125" s="1299"/>
    </row>
    <row r="126" spans="1:7" ht="18">
      <c r="A126" s="317"/>
      <c r="B126" s="317"/>
      <c r="C126" s="577"/>
      <c r="D126" s="577"/>
      <c r="E126" s="577"/>
      <c r="F126" s="317"/>
      <c r="G126" s="317"/>
    </row>
    <row r="127" spans="1:7" ht="18">
      <c r="A127" s="317"/>
      <c r="B127" s="317"/>
      <c r="C127" s="577"/>
      <c r="D127" s="577"/>
      <c r="E127" s="577"/>
      <c r="F127" s="317"/>
      <c r="G127" s="317"/>
    </row>
    <row r="128" spans="1:7" ht="16.5">
      <c r="A128" s="1238" t="s">
        <v>222</v>
      </c>
      <c r="B128" s="1238"/>
      <c r="C128" s="1238"/>
      <c r="D128" s="1238"/>
      <c r="E128" s="1238"/>
      <c r="F128" s="1238"/>
      <c r="G128" s="1238"/>
    </row>
    <row r="129" spans="1:7" ht="18">
      <c r="A129" s="317"/>
      <c r="B129" s="317"/>
      <c r="C129" s="577"/>
      <c r="D129" s="577"/>
      <c r="E129" s="577"/>
      <c r="F129" s="317"/>
      <c r="G129" s="317"/>
    </row>
    <row r="130" spans="1:7" ht="18">
      <c r="A130" s="317"/>
      <c r="B130" s="317"/>
      <c r="C130" s="577"/>
      <c r="D130" s="577"/>
      <c r="E130" s="577"/>
      <c r="F130" s="317"/>
      <c r="G130" s="317"/>
    </row>
    <row r="131" spans="1:7" ht="18">
      <c r="A131" s="317"/>
      <c r="B131" s="317"/>
      <c r="C131" s="577"/>
      <c r="D131" s="577"/>
      <c r="E131" s="577"/>
      <c r="F131" s="317"/>
      <c r="G131" s="317"/>
    </row>
    <row r="132" spans="1:7" ht="18">
      <c r="A132" s="317"/>
      <c r="B132" s="317"/>
      <c r="C132" s="577"/>
      <c r="D132" s="577"/>
      <c r="E132" s="577"/>
      <c r="F132" s="317"/>
      <c r="G132" s="317"/>
    </row>
    <row r="133" spans="1:7" ht="18">
      <c r="A133" s="317"/>
      <c r="B133" s="317"/>
      <c r="C133" s="577"/>
      <c r="D133" s="577"/>
      <c r="E133" s="577"/>
      <c r="F133" s="317"/>
      <c r="G133" s="317"/>
    </row>
    <row r="134" spans="1:7" ht="18">
      <c r="A134" s="317"/>
      <c r="B134" s="317"/>
      <c r="C134" s="577"/>
      <c r="D134" s="577"/>
      <c r="E134" s="577"/>
      <c r="F134" s="317"/>
      <c r="G134" s="317"/>
    </row>
    <row r="135" spans="1:7" ht="18">
      <c r="A135" s="317"/>
      <c r="B135" s="317"/>
      <c r="C135" s="577"/>
      <c r="D135" s="577"/>
      <c r="E135" s="577"/>
      <c r="F135" s="317"/>
      <c r="G135" s="317"/>
    </row>
    <row r="136" spans="1:7" ht="18">
      <c r="A136" s="317"/>
      <c r="B136" s="317"/>
      <c r="C136" s="577"/>
      <c r="D136" s="577"/>
      <c r="E136" s="577"/>
      <c r="F136" s="317"/>
      <c r="G136" s="317"/>
    </row>
    <row r="137" spans="1:7" ht="18">
      <c r="A137" s="317"/>
      <c r="B137" s="317"/>
      <c r="C137" s="577"/>
      <c r="D137" s="577"/>
      <c r="E137" s="577"/>
      <c r="F137" s="317"/>
      <c r="G137" s="317"/>
    </row>
    <row r="138" spans="1:7" ht="18">
      <c r="A138" s="317"/>
      <c r="B138" s="317"/>
      <c r="C138" s="577"/>
      <c r="D138" s="577"/>
      <c r="E138" s="577"/>
      <c r="F138" s="317"/>
      <c r="G138" s="317"/>
    </row>
    <row r="139" spans="1:7" ht="18">
      <c r="A139" s="317"/>
      <c r="B139" s="317"/>
      <c r="C139" s="577"/>
      <c r="D139" s="577"/>
      <c r="E139" s="577"/>
      <c r="F139" s="317"/>
      <c r="G139" s="317"/>
    </row>
    <row r="140" spans="1:7" ht="18">
      <c r="A140" s="317"/>
      <c r="B140" s="317"/>
      <c r="C140" s="577"/>
      <c r="D140" s="577"/>
      <c r="E140" s="577"/>
      <c r="F140" s="317"/>
      <c r="G140" s="317"/>
    </row>
    <row r="141" spans="1:7" ht="18">
      <c r="A141" s="317"/>
      <c r="B141" s="317"/>
      <c r="C141" s="577"/>
      <c r="D141" s="577"/>
      <c r="E141" s="577"/>
      <c r="F141" s="317"/>
      <c r="G141" s="317"/>
    </row>
    <row r="142" spans="1:7" ht="18">
      <c r="A142" s="317"/>
      <c r="B142" s="317"/>
      <c r="C142" s="577"/>
      <c r="D142" s="577"/>
      <c r="E142" s="577"/>
      <c r="F142" s="317"/>
      <c r="G142" s="317"/>
    </row>
    <row r="143" spans="1:7" ht="18">
      <c r="A143" s="317"/>
      <c r="B143" s="317"/>
      <c r="C143" s="577"/>
      <c r="D143" s="577"/>
      <c r="E143" s="577"/>
      <c r="F143" s="317"/>
      <c r="G143" s="317"/>
    </row>
    <row r="144" spans="1:7" ht="18">
      <c r="A144" s="317"/>
      <c r="B144" s="317"/>
      <c r="C144" s="577"/>
      <c r="D144" s="577"/>
      <c r="E144" s="577"/>
      <c r="F144" s="317"/>
      <c r="G144" s="317"/>
    </row>
    <row r="145" spans="1:7" ht="18">
      <c r="A145" s="317"/>
      <c r="B145" s="317"/>
      <c r="C145" s="577"/>
      <c r="D145" s="577"/>
      <c r="E145" s="577"/>
      <c r="F145" s="317"/>
      <c r="G145" s="317"/>
    </row>
    <row r="146" spans="1:7" ht="18">
      <c r="A146" s="317"/>
      <c r="B146" s="317"/>
      <c r="C146" s="577"/>
      <c r="D146" s="577"/>
      <c r="E146" s="577"/>
      <c r="F146" s="317"/>
      <c r="G146" s="317"/>
    </row>
    <row r="147" spans="1:7" ht="18">
      <c r="A147" s="317"/>
      <c r="B147" s="317"/>
      <c r="C147" s="577"/>
      <c r="D147" s="577"/>
      <c r="E147" s="577"/>
      <c r="F147" s="317"/>
      <c r="G147" s="317"/>
    </row>
    <row r="148" spans="1:7" ht="18">
      <c r="A148" s="317"/>
      <c r="B148" s="317"/>
      <c r="C148" s="577"/>
      <c r="D148" s="577"/>
      <c r="E148" s="577"/>
      <c r="F148" s="317"/>
      <c r="G148" s="317"/>
    </row>
    <row r="149" spans="1:7" ht="18">
      <c r="A149" s="317"/>
      <c r="B149" s="317"/>
      <c r="C149" s="577"/>
      <c r="D149" s="577"/>
      <c r="E149" s="577"/>
      <c r="F149" s="317"/>
      <c r="G149" s="317"/>
    </row>
    <row r="150" spans="1:7" ht="18">
      <c r="A150" s="317"/>
      <c r="B150" s="317"/>
      <c r="C150" s="577"/>
      <c r="D150" s="577"/>
      <c r="E150" s="577"/>
      <c r="F150" s="317"/>
      <c r="G150" s="317"/>
    </row>
    <row r="151" spans="1:7" ht="18">
      <c r="A151" s="317"/>
      <c r="B151" s="317"/>
      <c r="C151" s="577"/>
      <c r="D151" s="577"/>
      <c r="E151" s="577"/>
      <c r="F151" s="317"/>
      <c r="G151" s="317"/>
    </row>
    <row r="152" spans="1:7" ht="18">
      <c r="A152" s="317"/>
      <c r="B152" s="317"/>
      <c r="C152" s="577"/>
      <c r="D152" s="577"/>
      <c r="E152" s="577"/>
      <c r="F152" s="317"/>
      <c r="G152" s="317"/>
    </row>
    <row r="153" spans="1:7" ht="18">
      <c r="A153" s="317"/>
      <c r="B153" s="317"/>
      <c r="C153" s="577"/>
      <c r="D153" s="577"/>
      <c r="E153" s="577"/>
      <c r="F153" s="317"/>
      <c r="G153" s="317"/>
    </row>
    <row r="154" spans="1:7" ht="18">
      <c r="A154" s="317"/>
      <c r="B154" s="317"/>
      <c r="C154" s="577"/>
      <c r="D154" s="577"/>
      <c r="E154" s="577"/>
      <c r="F154" s="317"/>
      <c r="G154" s="317"/>
    </row>
    <row r="155" spans="1:7" ht="18">
      <c r="A155" s="317"/>
      <c r="B155" s="317"/>
      <c r="C155" s="577"/>
      <c r="D155" s="577"/>
      <c r="E155" s="577"/>
      <c r="F155" s="317"/>
      <c r="G155" s="317"/>
    </row>
    <row r="156" spans="1:7" ht="18">
      <c r="A156" s="317"/>
      <c r="B156" s="317"/>
      <c r="C156" s="577"/>
      <c r="D156" s="577"/>
      <c r="E156" s="577"/>
      <c r="F156" s="317"/>
      <c r="G156" s="317"/>
    </row>
    <row r="157" spans="1:7" ht="18">
      <c r="A157" s="317"/>
      <c r="B157" s="317"/>
      <c r="C157" s="577"/>
      <c r="D157" s="577"/>
      <c r="E157" s="577"/>
      <c r="F157" s="317"/>
      <c r="G157" s="317"/>
    </row>
    <row r="158" spans="1:7" ht="18">
      <c r="A158" s="317"/>
      <c r="B158" s="317"/>
      <c r="C158" s="577"/>
      <c r="D158" s="577"/>
      <c r="E158" s="577"/>
      <c r="F158" s="317"/>
      <c r="G158" s="317"/>
    </row>
    <row r="159" spans="1:7" ht="18">
      <c r="A159" s="317"/>
      <c r="B159" s="317"/>
      <c r="C159" s="577"/>
      <c r="D159" s="577"/>
      <c r="E159" s="577"/>
      <c r="F159" s="317"/>
      <c r="G159" s="317"/>
    </row>
    <row r="160" spans="1:7" ht="18">
      <c r="A160" s="317"/>
      <c r="B160" s="317"/>
      <c r="C160" s="577"/>
      <c r="D160" s="577"/>
      <c r="E160" s="577"/>
      <c r="F160" s="317"/>
      <c r="G160" s="317"/>
    </row>
    <row r="161" spans="1:7" ht="18">
      <c r="A161" s="317"/>
      <c r="B161" s="317"/>
      <c r="C161" s="577"/>
      <c r="D161" s="577"/>
      <c r="E161" s="577"/>
      <c r="F161" s="317"/>
      <c r="G161" s="317"/>
    </row>
    <row r="162" spans="1:7" ht="18">
      <c r="A162" s="317"/>
      <c r="B162" s="317"/>
      <c r="C162" s="577"/>
      <c r="D162" s="577"/>
      <c r="E162" s="577"/>
      <c r="F162" s="317"/>
      <c r="G162" s="317"/>
    </row>
    <row r="163" spans="1:7" ht="18">
      <c r="A163" s="317"/>
      <c r="B163" s="317"/>
      <c r="C163" s="577"/>
      <c r="D163" s="577"/>
      <c r="E163" s="577"/>
      <c r="F163" s="317"/>
      <c r="G163" s="317"/>
    </row>
    <row r="164" spans="1:7" ht="18">
      <c r="A164" s="317"/>
      <c r="B164" s="317"/>
      <c r="C164" s="577"/>
      <c r="D164" s="577"/>
      <c r="E164" s="577"/>
      <c r="F164" s="317"/>
      <c r="G164" s="317"/>
    </row>
    <row r="165" spans="1:7" ht="18">
      <c r="A165" s="317"/>
      <c r="B165" s="317"/>
      <c r="C165" s="577"/>
      <c r="D165" s="577"/>
      <c r="E165" s="577"/>
      <c r="F165" s="317"/>
      <c r="G165" s="317"/>
    </row>
    <row r="166" spans="1:7" ht="18">
      <c r="A166" s="317"/>
      <c r="B166" s="317"/>
      <c r="C166" s="577"/>
      <c r="D166" s="577"/>
      <c r="E166" s="577"/>
      <c r="F166" s="317"/>
      <c r="G166" s="317"/>
    </row>
    <row r="167" spans="1:7" ht="18">
      <c r="A167" s="317"/>
      <c r="B167" s="317"/>
      <c r="C167" s="577"/>
      <c r="D167" s="577"/>
      <c r="E167" s="577"/>
      <c r="F167" s="317"/>
      <c r="G167" s="317"/>
    </row>
    <row r="168" spans="1:7" ht="18">
      <c r="A168" s="317"/>
      <c r="B168" s="317"/>
      <c r="C168" s="577"/>
      <c r="D168" s="577"/>
      <c r="E168" s="577"/>
      <c r="F168" s="317"/>
      <c r="G168" s="317"/>
    </row>
    <row r="169" spans="1:7" ht="18">
      <c r="A169" s="317"/>
      <c r="B169" s="317"/>
      <c r="C169" s="577"/>
      <c r="D169" s="577"/>
      <c r="E169" s="577"/>
      <c r="F169" s="317"/>
      <c r="G169" s="317"/>
    </row>
    <row r="170" spans="1:7" ht="18">
      <c r="A170" s="317"/>
      <c r="B170" s="317"/>
      <c r="C170" s="577"/>
      <c r="D170" s="577"/>
      <c r="E170" s="577"/>
      <c r="F170" s="317"/>
      <c r="G170" s="317"/>
    </row>
    <row r="171" spans="1:7" ht="18">
      <c r="A171" s="317"/>
      <c r="B171" s="317"/>
      <c r="C171" s="577"/>
      <c r="D171" s="577"/>
      <c r="E171" s="577"/>
      <c r="F171" s="317"/>
      <c r="G171" s="317"/>
    </row>
    <row r="172" spans="1:7" ht="18">
      <c r="A172" s="317"/>
      <c r="B172" s="317"/>
      <c r="C172" s="577"/>
      <c r="D172" s="577"/>
      <c r="E172" s="577"/>
      <c r="F172" s="317"/>
      <c r="G172" s="317"/>
    </row>
    <row r="173" spans="1:7" ht="18">
      <c r="A173" s="317"/>
      <c r="B173" s="317"/>
      <c r="C173" s="577"/>
      <c r="D173" s="577"/>
      <c r="E173" s="577"/>
      <c r="F173" s="317"/>
      <c r="G173" s="317"/>
    </row>
    <row r="174" spans="1:7" ht="18">
      <c r="A174" s="317"/>
      <c r="B174" s="317"/>
      <c r="C174" s="577"/>
      <c r="D174" s="577"/>
      <c r="E174" s="577"/>
      <c r="F174" s="317"/>
      <c r="G174" s="317"/>
    </row>
    <row r="175" spans="1:7" ht="18">
      <c r="A175" s="317"/>
      <c r="B175" s="317"/>
      <c r="C175" s="577"/>
      <c r="D175" s="577"/>
      <c r="E175" s="577"/>
      <c r="F175" s="317"/>
      <c r="G175" s="317"/>
    </row>
    <row r="176" spans="1:7" ht="18">
      <c r="A176" s="317"/>
      <c r="B176" s="317"/>
      <c r="C176" s="577"/>
      <c r="D176" s="577"/>
      <c r="E176" s="577"/>
      <c r="F176" s="317"/>
      <c r="G176" s="317"/>
    </row>
    <row r="177" spans="1:7" ht="18">
      <c r="A177" s="317"/>
      <c r="B177" s="317"/>
      <c r="C177" s="577"/>
      <c r="D177" s="577"/>
      <c r="E177" s="577"/>
      <c r="F177" s="317"/>
      <c r="G177" s="317"/>
    </row>
    <row r="178" spans="1:7" ht="18">
      <c r="A178" s="317"/>
      <c r="B178" s="317"/>
      <c r="C178" s="577"/>
      <c r="D178" s="577"/>
      <c r="E178" s="577"/>
      <c r="F178" s="317"/>
      <c r="G178" s="317"/>
    </row>
    <row r="179" spans="1:7" ht="18">
      <c r="A179" s="317"/>
      <c r="B179" s="317"/>
      <c r="C179" s="577"/>
      <c r="D179" s="577"/>
      <c r="E179" s="577"/>
      <c r="F179" s="317"/>
      <c r="G179" s="317"/>
    </row>
    <row r="180" spans="1:7" ht="18">
      <c r="A180" s="317"/>
      <c r="B180" s="317"/>
      <c r="C180" s="577"/>
      <c r="D180" s="577"/>
      <c r="E180" s="577"/>
      <c r="F180" s="317"/>
      <c r="G180" s="317"/>
    </row>
    <row r="181" spans="1:7" ht="18">
      <c r="A181" s="317"/>
      <c r="B181" s="317"/>
      <c r="C181" s="577"/>
      <c r="D181" s="577"/>
      <c r="E181" s="577"/>
      <c r="F181" s="317"/>
      <c r="G181" s="317"/>
    </row>
    <row r="182" spans="1:7" ht="18">
      <c r="A182" s="317"/>
      <c r="B182" s="317"/>
      <c r="C182" s="577"/>
      <c r="D182" s="577"/>
      <c r="E182" s="577"/>
      <c r="F182" s="317"/>
      <c r="G182" s="317"/>
    </row>
    <row r="183" spans="1:7" ht="18">
      <c r="A183" s="317"/>
      <c r="B183" s="317"/>
      <c r="C183" s="577"/>
      <c r="D183" s="577"/>
      <c r="E183" s="577"/>
      <c r="F183" s="317"/>
      <c r="G183" s="317"/>
    </row>
    <row r="184" spans="1:7" ht="18">
      <c r="A184" s="317"/>
      <c r="B184" s="317"/>
      <c r="C184" s="577"/>
      <c r="D184" s="577"/>
      <c r="E184" s="577"/>
      <c r="F184" s="317"/>
      <c r="G184" s="317"/>
    </row>
    <row r="185" spans="1:7" ht="18">
      <c r="A185" s="317"/>
      <c r="B185" s="317"/>
      <c r="C185" s="577"/>
      <c r="D185" s="577"/>
      <c r="E185" s="577"/>
      <c r="F185" s="317"/>
      <c r="G185" s="317"/>
    </row>
    <row r="186" spans="1:7" ht="18">
      <c r="A186" s="317"/>
      <c r="B186" s="317"/>
      <c r="C186" s="577"/>
      <c r="D186" s="577"/>
      <c r="E186" s="577"/>
      <c r="F186" s="317"/>
      <c r="G186" s="317"/>
    </row>
    <row r="187" spans="1:7" ht="18">
      <c r="A187" s="317"/>
      <c r="B187" s="317"/>
      <c r="C187" s="577"/>
      <c r="D187" s="577"/>
      <c r="E187" s="577"/>
      <c r="F187" s="317"/>
      <c r="G187" s="317"/>
    </row>
    <row r="188" spans="1:7" ht="18">
      <c r="A188" s="317"/>
      <c r="B188" s="317"/>
      <c r="C188" s="577"/>
      <c r="D188" s="577"/>
      <c r="E188" s="577"/>
      <c r="F188" s="317"/>
      <c r="G188" s="317"/>
    </row>
    <row r="189" spans="1:7" ht="18">
      <c r="A189" s="317"/>
      <c r="B189" s="317"/>
      <c r="C189" s="577"/>
      <c r="D189" s="577"/>
      <c r="E189" s="577"/>
      <c r="F189" s="317"/>
      <c r="G189" s="317"/>
    </row>
    <row r="190" spans="1:7" ht="18">
      <c r="A190" s="317"/>
      <c r="B190" s="317"/>
      <c r="C190" s="577"/>
      <c r="D190" s="577"/>
      <c r="E190" s="577"/>
      <c r="F190" s="317"/>
      <c r="G190" s="317"/>
    </row>
    <row r="191" spans="1:7" ht="18">
      <c r="A191" s="317"/>
      <c r="B191" s="317"/>
      <c r="C191" s="577"/>
      <c r="D191" s="577"/>
      <c r="E191" s="577"/>
      <c r="F191" s="317"/>
      <c r="G191" s="317"/>
    </row>
    <row r="192" spans="1:7" ht="18">
      <c r="A192" s="317"/>
      <c r="B192" s="317"/>
      <c r="C192" s="577"/>
      <c r="D192" s="577"/>
      <c r="E192" s="577"/>
      <c r="F192" s="317"/>
      <c r="G192" s="317"/>
    </row>
    <row r="193" spans="1:7" ht="18">
      <c r="A193" s="317"/>
      <c r="B193" s="317"/>
      <c r="C193" s="577"/>
      <c r="D193" s="577"/>
      <c r="E193" s="577"/>
      <c r="F193" s="317"/>
      <c r="G193" s="317"/>
    </row>
    <row r="194" spans="1:7" ht="18">
      <c r="A194" s="317"/>
      <c r="B194" s="317"/>
      <c r="C194" s="577"/>
      <c r="D194" s="577"/>
      <c r="E194" s="577"/>
      <c r="F194" s="317"/>
      <c r="G194" s="317"/>
    </row>
    <row r="195" spans="1:7" ht="18">
      <c r="A195" s="317"/>
      <c r="B195" s="317"/>
      <c r="C195" s="577"/>
      <c r="D195" s="577"/>
      <c r="E195" s="577"/>
      <c r="F195" s="317"/>
      <c r="G195" s="317"/>
    </row>
    <row r="196" spans="1:7" ht="18">
      <c r="A196" s="317"/>
      <c r="B196" s="317"/>
      <c r="C196" s="577"/>
      <c r="D196" s="577"/>
      <c r="E196" s="577"/>
      <c r="F196" s="317"/>
      <c r="G196" s="317"/>
    </row>
    <row r="197" spans="1:7" ht="18">
      <c r="A197" s="317"/>
      <c r="B197" s="317"/>
      <c r="C197" s="577"/>
      <c r="D197" s="577"/>
      <c r="E197" s="577"/>
      <c r="F197" s="317"/>
      <c r="G197" s="317"/>
    </row>
    <row r="198" spans="1:7" ht="18">
      <c r="A198" s="317"/>
      <c r="B198" s="317"/>
      <c r="C198" s="577"/>
      <c r="D198" s="577"/>
      <c r="E198" s="577"/>
      <c r="F198" s="317"/>
      <c r="G198" s="317"/>
    </row>
    <row r="199" spans="1:7" ht="18">
      <c r="A199" s="317"/>
      <c r="B199" s="317"/>
      <c r="C199" s="577"/>
      <c r="D199" s="577"/>
      <c r="E199" s="577"/>
      <c r="F199" s="317"/>
      <c r="G199" s="317"/>
    </row>
    <row r="200" spans="1:7" ht="18">
      <c r="A200" s="317"/>
      <c r="B200" s="317"/>
      <c r="C200" s="577"/>
      <c r="D200" s="577"/>
      <c r="E200" s="577"/>
      <c r="F200" s="317"/>
      <c r="G200" s="317"/>
    </row>
    <row r="201" spans="1:7" ht="18">
      <c r="A201" s="317"/>
      <c r="B201" s="317"/>
      <c r="C201" s="577"/>
      <c r="D201" s="577"/>
      <c r="E201" s="577"/>
      <c r="F201" s="317"/>
      <c r="G201" s="317"/>
    </row>
    <row r="202" spans="1:7" ht="18">
      <c r="A202" s="317"/>
      <c r="B202" s="317"/>
      <c r="C202" s="577"/>
      <c r="D202" s="577"/>
      <c r="E202" s="577"/>
      <c r="F202" s="317"/>
      <c r="G202" s="317"/>
    </row>
    <row r="203" spans="1:7" ht="18">
      <c r="A203" s="317"/>
      <c r="B203" s="317"/>
      <c r="C203" s="577"/>
      <c r="D203" s="577"/>
      <c r="E203" s="577"/>
      <c r="F203" s="317"/>
      <c r="G203" s="317"/>
    </row>
    <row r="204" spans="1:7" ht="18">
      <c r="A204" s="317"/>
      <c r="B204" s="317"/>
      <c r="C204" s="577"/>
      <c r="D204" s="577"/>
      <c r="E204" s="577"/>
      <c r="F204" s="317"/>
      <c r="G204" s="317"/>
    </row>
    <row r="205" spans="1:7" ht="18">
      <c r="A205" s="317"/>
      <c r="B205" s="317"/>
      <c r="C205" s="577"/>
      <c r="D205" s="577"/>
      <c r="E205" s="577"/>
      <c r="F205" s="317"/>
      <c r="G205" s="317"/>
    </row>
    <row r="206" spans="1:7" ht="18">
      <c r="A206" s="317"/>
      <c r="B206" s="317"/>
      <c r="C206" s="577"/>
      <c r="D206" s="577"/>
      <c r="E206" s="577"/>
      <c r="F206" s="317"/>
      <c r="G206" s="317"/>
    </row>
    <row r="207" spans="1:7" ht="18">
      <c r="A207" s="317"/>
      <c r="B207" s="317"/>
      <c r="C207" s="577"/>
      <c r="D207" s="577"/>
      <c r="E207" s="577"/>
      <c r="F207" s="317"/>
      <c r="G207" s="317"/>
    </row>
    <row r="208" spans="1:7" ht="18">
      <c r="A208" s="317"/>
      <c r="B208" s="317"/>
      <c r="C208" s="577"/>
      <c r="D208" s="577"/>
      <c r="E208" s="577"/>
      <c r="F208" s="317"/>
      <c r="G208" s="317"/>
    </row>
    <row r="209" spans="1:7" ht="18">
      <c r="A209" s="317"/>
      <c r="B209" s="317"/>
      <c r="C209" s="577"/>
      <c r="D209" s="577"/>
      <c r="E209" s="577"/>
      <c r="F209" s="317"/>
      <c r="G209" s="317"/>
    </row>
    <row r="210" spans="1:7" ht="18">
      <c r="A210" s="317"/>
      <c r="B210" s="317"/>
      <c r="C210" s="577"/>
      <c r="D210" s="577"/>
      <c r="E210" s="577"/>
      <c r="F210" s="317"/>
      <c r="G210" s="317"/>
    </row>
    <row r="211" spans="1:7" ht="18">
      <c r="A211" s="317"/>
      <c r="B211" s="317"/>
      <c r="C211" s="577"/>
      <c r="D211" s="577"/>
      <c r="E211" s="577"/>
      <c r="F211" s="317"/>
      <c r="G211" s="317"/>
    </row>
    <row r="212" spans="1:7" ht="18">
      <c r="A212" s="317"/>
      <c r="B212" s="317"/>
      <c r="C212" s="577"/>
      <c r="D212" s="577"/>
      <c r="E212" s="577"/>
      <c r="F212" s="317"/>
      <c r="G212" s="317"/>
    </row>
    <row r="213" spans="1:7" ht="18">
      <c r="A213" s="317"/>
      <c r="B213" s="317"/>
      <c r="C213" s="577"/>
      <c r="D213" s="577"/>
      <c r="E213" s="577"/>
      <c r="F213" s="317"/>
      <c r="G213" s="317"/>
    </row>
    <row r="214" spans="1:7" ht="18">
      <c r="A214" s="317"/>
      <c r="B214" s="317"/>
      <c r="C214" s="577"/>
      <c r="D214" s="577"/>
      <c r="E214" s="577"/>
      <c r="F214" s="317"/>
      <c r="G214" s="317"/>
    </row>
    <row r="215" spans="1:7" ht="18">
      <c r="A215" s="317"/>
      <c r="B215" s="317"/>
      <c r="C215" s="577"/>
      <c r="D215" s="577"/>
      <c r="E215" s="577"/>
      <c r="F215" s="317"/>
      <c r="G215" s="317"/>
    </row>
    <row r="216" spans="1:7" ht="18">
      <c r="A216" s="317"/>
      <c r="B216" s="317"/>
      <c r="C216" s="577"/>
      <c r="D216" s="577"/>
      <c r="E216" s="577"/>
      <c r="F216" s="317"/>
      <c r="G216" s="317"/>
    </row>
    <row r="217" spans="1:7" ht="18">
      <c r="A217" s="317"/>
      <c r="B217" s="317"/>
      <c r="C217" s="577"/>
      <c r="D217" s="577"/>
      <c r="E217" s="577"/>
      <c r="F217" s="317"/>
      <c r="G217" s="317"/>
    </row>
    <row r="218" spans="1:7" ht="18">
      <c r="A218" s="317"/>
      <c r="B218" s="317"/>
      <c r="C218" s="577"/>
      <c r="D218" s="577"/>
      <c r="E218" s="577"/>
      <c r="F218" s="317"/>
      <c r="G218" s="317"/>
    </row>
    <row r="219" spans="1:7" ht="18">
      <c r="A219" s="317"/>
      <c r="B219" s="317"/>
      <c r="C219" s="577"/>
      <c r="D219" s="577"/>
      <c r="E219" s="577"/>
      <c r="F219" s="317"/>
      <c r="G219" s="317"/>
    </row>
    <row r="220" spans="1:7" ht="18">
      <c r="A220" s="317"/>
      <c r="B220" s="317"/>
      <c r="C220" s="577"/>
      <c r="D220" s="577"/>
      <c r="E220" s="577"/>
      <c r="F220" s="317"/>
      <c r="G220" s="317"/>
    </row>
    <row r="221" spans="1:7" ht="18">
      <c r="A221" s="317"/>
      <c r="B221" s="317"/>
      <c r="C221" s="577"/>
      <c r="D221" s="577"/>
      <c r="E221" s="577"/>
      <c r="F221" s="317"/>
      <c r="G221" s="317"/>
    </row>
    <row r="222" spans="1:7" ht="18">
      <c r="A222" s="317"/>
      <c r="B222" s="317"/>
      <c r="C222" s="577"/>
      <c r="D222" s="577"/>
      <c r="E222" s="577"/>
      <c r="F222" s="317"/>
      <c r="G222" s="317"/>
    </row>
    <row r="223" spans="1:7" ht="18">
      <c r="A223" s="317"/>
      <c r="B223" s="317"/>
      <c r="C223" s="577"/>
      <c r="D223" s="577"/>
      <c r="E223" s="577"/>
      <c r="F223" s="317"/>
      <c r="G223" s="317"/>
    </row>
    <row r="224" spans="1:7" ht="18">
      <c r="A224" s="317"/>
      <c r="B224" s="317"/>
      <c r="C224" s="577"/>
      <c r="D224" s="577"/>
      <c r="E224" s="577"/>
      <c r="F224" s="317"/>
      <c r="G224" s="317"/>
    </row>
    <row r="225" spans="1:7" ht="18">
      <c r="A225" s="317"/>
      <c r="B225" s="317"/>
      <c r="C225" s="577"/>
      <c r="D225" s="577"/>
      <c r="E225" s="577"/>
      <c r="F225" s="317"/>
      <c r="G225" s="317"/>
    </row>
    <row r="226" spans="1:7" ht="18">
      <c r="A226" s="317"/>
      <c r="B226" s="317"/>
      <c r="C226" s="577"/>
      <c r="D226" s="577"/>
      <c r="E226" s="577"/>
      <c r="F226" s="317"/>
      <c r="G226" s="317"/>
    </row>
    <row r="227" spans="1:7" ht="18">
      <c r="A227" s="317"/>
      <c r="B227" s="317"/>
      <c r="C227" s="577"/>
      <c r="D227" s="577"/>
      <c r="E227" s="577"/>
      <c r="F227" s="317"/>
      <c r="G227" s="317"/>
    </row>
    <row r="228" spans="1:7" ht="18">
      <c r="A228" s="317"/>
      <c r="B228" s="317"/>
      <c r="C228" s="577"/>
      <c r="D228" s="577"/>
      <c r="E228" s="577"/>
      <c r="F228" s="317"/>
      <c r="G228" s="317"/>
    </row>
    <row r="229" spans="1:7" ht="18">
      <c r="A229" s="317"/>
      <c r="B229" s="317"/>
      <c r="C229" s="577"/>
      <c r="D229" s="577"/>
      <c r="E229" s="577"/>
      <c r="F229" s="317"/>
      <c r="G229" s="317"/>
    </row>
    <row r="230" spans="1:7" ht="18">
      <c r="A230" s="317"/>
      <c r="B230" s="317"/>
      <c r="C230" s="577"/>
      <c r="D230" s="577"/>
      <c r="E230" s="577"/>
      <c r="F230" s="317"/>
      <c r="G230" s="317"/>
    </row>
    <row r="231" spans="1:7" ht="18">
      <c r="A231" s="317"/>
      <c r="B231" s="317"/>
      <c r="C231" s="577"/>
      <c r="D231" s="577"/>
      <c r="E231" s="577"/>
      <c r="F231" s="317"/>
      <c r="G231" s="317"/>
    </row>
    <row r="232" spans="1:7" ht="18">
      <c r="A232" s="317"/>
      <c r="B232" s="317"/>
      <c r="C232" s="577"/>
      <c r="D232" s="577"/>
      <c r="E232" s="577"/>
      <c r="F232" s="317"/>
      <c r="G232" s="317"/>
    </row>
    <row r="233" spans="1:7" ht="18">
      <c r="A233" s="317"/>
      <c r="B233" s="317"/>
      <c r="C233" s="577"/>
      <c r="D233" s="577"/>
      <c r="E233" s="577"/>
      <c r="F233" s="317"/>
      <c r="G233" s="317"/>
    </row>
    <row r="234" spans="1:7" ht="18">
      <c r="A234" s="317"/>
      <c r="B234" s="317"/>
      <c r="C234" s="577"/>
      <c r="D234" s="577"/>
      <c r="E234" s="577"/>
      <c r="F234" s="317"/>
      <c r="G234" s="317"/>
    </row>
    <row r="235" spans="1:7" ht="18">
      <c r="A235" s="317"/>
      <c r="B235" s="317"/>
      <c r="C235" s="577"/>
      <c r="D235" s="577"/>
      <c r="E235" s="577"/>
      <c r="F235" s="317"/>
      <c r="G235" s="317"/>
    </row>
    <row r="236" spans="1:7" ht="18">
      <c r="A236" s="317"/>
      <c r="B236" s="317"/>
      <c r="C236" s="577"/>
      <c r="D236" s="577"/>
      <c r="E236" s="577"/>
      <c r="F236" s="317"/>
      <c r="G236" s="317"/>
    </row>
    <row r="237" spans="1:7" ht="18">
      <c r="A237" s="317"/>
      <c r="B237" s="317"/>
      <c r="C237" s="577"/>
      <c r="D237" s="577"/>
      <c r="E237" s="577"/>
      <c r="F237" s="317"/>
      <c r="G237" s="317"/>
    </row>
    <row r="238" spans="1:7" ht="18">
      <c r="A238" s="317"/>
      <c r="B238" s="317"/>
      <c r="C238" s="577"/>
      <c r="D238" s="577"/>
      <c r="E238" s="577"/>
      <c r="F238" s="317"/>
      <c r="G238" s="317"/>
    </row>
    <row r="239" spans="1:7" ht="18">
      <c r="A239" s="317"/>
      <c r="B239" s="317"/>
      <c r="C239" s="577"/>
      <c r="D239" s="577"/>
      <c r="E239" s="577"/>
      <c r="F239" s="317"/>
      <c r="G239" s="317"/>
    </row>
    <row r="240" spans="1:7" ht="18">
      <c r="A240" s="317"/>
      <c r="B240" s="317"/>
      <c r="C240" s="577"/>
      <c r="D240" s="577"/>
      <c r="E240" s="577"/>
      <c r="F240" s="317"/>
      <c r="G240" s="317"/>
    </row>
    <row r="241" spans="1:7" ht="18">
      <c r="A241" s="317"/>
      <c r="B241" s="317"/>
      <c r="C241" s="577"/>
      <c r="D241" s="577"/>
      <c r="E241" s="577"/>
      <c r="F241" s="317"/>
      <c r="G241" s="317"/>
    </row>
    <row r="242" spans="1:7" ht="18">
      <c r="A242" s="317"/>
      <c r="B242" s="317"/>
      <c r="C242" s="577"/>
      <c r="D242" s="577"/>
      <c r="E242" s="577"/>
      <c r="F242" s="317"/>
      <c r="G242" s="317"/>
    </row>
    <row r="243" spans="1:7" ht="18">
      <c r="A243" s="317"/>
      <c r="B243" s="317"/>
      <c r="C243" s="577"/>
      <c r="D243" s="577"/>
      <c r="E243" s="577"/>
      <c r="F243" s="317"/>
      <c r="G243" s="317"/>
    </row>
    <row r="244" spans="1:7" ht="18">
      <c r="A244" s="317"/>
      <c r="B244" s="317"/>
      <c r="C244" s="577"/>
      <c r="D244" s="577"/>
      <c r="E244" s="577"/>
      <c r="F244" s="317"/>
      <c r="G244" s="317"/>
    </row>
    <row r="245" spans="1:7" ht="18">
      <c r="A245" s="317"/>
      <c r="B245" s="317"/>
      <c r="C245" s="577"/>
      <c r="D245" s="577"/>
      <c r="E245" s="577"/>
      <c r="F245" s="317"/>
      <c r="G245" s="317"/>
    </row>
    <row r="246" spans="1:7" ht="18">
      <c r="A246" s="317"/>
      <c r="B246" s="317"/>
      <c r="C246" s="577"/>
      <c r="D246" s="577"/>
      <c r="E246" s="577"/>
      <c r="F246" s="317"/>
      <c r="G246" s="317"/>
    </row>
    <row r="247" spans="1:7" ht="18">
      <c r="A247" s="317"/>
      <c r="B247" s="317"/>
      <c r="C247" s="577"/>
      <c r="D247" s="577"/>
      <c r="E247" s="577"/>
      <c r="F247" s="317"/>
      <c r="G247" s="317"/>
    </row>
    <row r="248" spans="1:7" ht="18">
      <c r="A248" s="317"/>
      <c r="B248" s="317"/>
      <c r="C248" s="577"/>
      <c r="D248" s="577"/>
      <c r="E248" s="577"/>
      <c r="F248" s="317"/>
      <c r="G248" s="317"/>
    </row>
    <row r="249" spans="1:7" ht="18">
      <c r="A249" s="317"/>
      <c r="B249" s="317"/>
      <c r="C249" s="577"/>
      <c r="D249" s="577"/>
      <c r="E249" s="577"/>
      <c r="F249" s="317"/>
      <c r="G249" s="317"/>
    </row>
    <row r="250" spans="1:7" ht="18">
      <c r="A250" s="317"/>
      <c r="B250" s="317"/>
      <c r="C250" s="577"/>
      <c r="D250" s="577"/>
      <c r="E250" s="577"/>
      <c r="F250" s="317"/>
      <c r="G250" s="317"/>
    </row>
    <row r="251" spans="1:7" ht="18">
      <c r="A251" s="317"/>
      <c r="B251" s="317"/>
      <c r="C251" s="577"/>
      <c r="D251" s="577"/>
      <c r="E251" s="577"/>
      <c r="F251" s="317"/>
      <c r="G251" s="317"/>
    </row>
    <row r="252" spans="1:7" ht="18">
      <c r="A252" s="317"/>
      <c r="B252" s="317"/>
      <c r="C252" s="577"/>
      <c r="D252" s="577"/>
      <c r="E252" s="577"/>
      <c r="F252" s="317"/>
      <c r="G252" s="317"/>
    </row>
    <row r="253" spans="1:7" ht="18">
      <c r="A253" s="317"/>
      <c r="B253" s="317"/>
      <c r="C253" s="577"/>
      <c r="D253" s="577"/>
      <c r="E253" s="577"/>
      <c r="F253" s="317"/>
      <c r="G253" s="317"/>
    </row>
    <row r="254" spans="1:7" ht="18">
      <c r="A254" s="317"/>
      <c r="B254" s="317"/>
      <c r="C254" s="577"/>
      <c r="D254" s="577"/>
      <c r="E254" s="577"/>
      <c r="F254" s="317"/>
      <c r="G254" s="317"/>
    </row>
    <row r="255" spans="1:7" ht="18">
      <c r="A255" s="317"/>
      <c r="B255" s="317"/>
      <c r="C255" s="577"/>
      <c r="D255" s="577"/>
      <c r="E255" s="577"/>
      <c r="F255" s="317"/>
      <c r="G255" s="317"/>
    </row>
    <row r="256" spans="1:7" ht="18">
      <c r="A256" s="317"/>
      <c r="B256" s="317"/>
      <c r="C256" s="577"/>
      <c r="D256" s="577"/>
      <c r="E256" s="577"/>
      <c r="F256" s="317"/>
      <c r="G256" s="317"/>
    </row>
    <row r="257" spans="1:7" ht="18">
      <c r="A257" s="317"/>
      <c r="B257" s="317"/>
      <c r="C257" s="577"/>
      <c r="D257" s="577"/>
      <c r="E257" s="577"/>
      <c r="F257" s="317"/>
      <c r="G257" s="317"/>
    </row>
    <row r="258" spans="1:7" ht="18">
      <c r="A258" s="317"/>
      <c r="B258" s="317"/>
      <c r="C258" s="577"/>
      <c r="D258" s="577"/>
      <c r="E258" s="577"/>
      <c r="F258" s="317"/>
      <c r="G258" s="317"/>
    </row>
    <row r="259" spans="1:7" ht="18">
      <c r="A259" s="317"/>
      <c r="B259" s="317"/>
      <c r="C259" s="577"/>
      <c r="D259" s="577"/>
      <c r="E259" s="577"/>
      <c r="F259" s="317"/>
      <c r="G259" s="317"/>
    </row>
    <row r="260" spans="1:7" ht="18">
      <c r="A260" s="317"/>
      <c r="B260" s="317"/>
      <c r="C260" s="577"/>
      <c r="D260" s="577"/>
      <c r="E260" s="577"/>
      <c r="F260" s="317"/>
      <c r="G260" s="317"/>
    </row>
    <row r="261" spans="1:7" ht="18">
      <c r="A261" s="317"/>
      <c r="B261" s="317"/>
      <c r="C261" s="577"/>
      <c r="D261" s="577"/>
      <c r="E261" s="577"/>
      <c r="F261" s="317"/>
      <c r="G261" s="317"/>
    </row>
    <row r="262" spans="1:7" ht="18">
      <c r="A262" s="317"/>
      <c r="B262" s="317"/>
      <c r="C262" s="577"/>
      <c r="D262" s="577"/>
      <c r="E262" s="577"/>
      <c r="F262" s="317"/>
      <c r="G262" s="317"/>
    </row>
    <row r="263" spans="1:7" ht="18">
      <c r="A263" s="317"/>
      <c r="B263" s="317"/>
      <c r="C263" s="577"/>
      <c r="D263" s="577"/>
      <c r="E263" s="577"/>
      <c r="F263" s="317"/>
      <c r="G263" s="317"/>
    </row>
    <row r="264" spans="1:7" ht="18">
      <c r="A264" s="317"/>
      <c r="B264" s="317"/>
      <c r="C264" s="577"/>
      <c r="D264" s="577"/>
      <c r="E264" s="577"/>
      <c r="F264" s="317"/>
      <c r="G264" s="317"/>
    </row>
    <row r="265" spans="1:7" ht="18">
      <c r="A265" s="317"/>
      <c r="B265" s="317"/>
      <c r="C265" s="577"/>
      <c r="D265" s="577"/>
      <c r="E265" s="577"/>
      <c r="F265" s="317"/>
      <c r="G265" s="317"/>
    </row>
    <row r="266" spans="1:7" ht="18">
      <c r="A266" s="317"/>
      <c r="B266" s="317"/>
      <c r="C266" s="577"/>
      <c r="D266" s="577"/>
      <c r="E266" s="577"/>
      <c r="F266" s="317"/>
      <c r="G266" s="317"/>
    </row>
    <row r="267" spans="1:7" ht="18">
      <c r="A267" s="317"/>
      <c r="B267" s="317"/>
      <c r="C267" s="577"/>
      <c r="D267" s="577"/>
      <c r="E267" s="577"/>
      <c r="F267" s="317"/>
      <c r="G267" s="317"/>
    </row>
    <row r="268" spans="1:7" ht="18">
      <c r="A268" s="317"/>
      <c r="B268" s="317"/>
      <c r="C268" s="577"/>
      <c r="D268" s="577"/>
      <c r="E268" s="577"/>
      <c r="F268" s="317"/>
      <c r="G268" s="317"/>
    </row>
    <row r="269" spans="1:7" ht="18">
      <c r="A269" s="317"/>
      <c r="B269" s="317"/>
      <c r="C269" s="577"/>
      <c r="D269" s="577"/>
      <c r="E269" s="577"/>
      <c r="F269" s="317"/>
      <c r="G269" s="317"/>
    </row>
    <row r="270" spans="1:7" ht="18">
      <c r="A270" s="317"/>
      <c r="B270" s="317"/>
      <c r="C270" s="577"/>
      <c r="D270" s="577"/>
      <c r="E270" s="577"/>
      <c r="F270" s="317"/>
      <c r="G270" s="317"/>
    </row>
    <row r="271" spans="1:7" ht="18">
      <c r="A271" s="317"/>
      <c r="B271" s="317"/>
      <c r="C271" s="577"/>
      <c r="D271" s="577"/>
      <c r="E271" s="577"/>
      <c r="F271" s="317"/>
      <c r="G271" s="317"/>
    </row>
    <row r="272" spans="1:7" ht="18">
      <c r="A272" s="317"/>
      <c r="B272" s="317"/>
      <c r="C272" s="577"/>
      <c r="D272" s="577"/>
      <c r="E272" s="577"/>
      <c r="F272" s="317"/>
      <c r="G272" s="317"/>
    </row>
    <row r="273" spans="1:7" ht="18">
      <c r="A273" s="317"/>
      <c r="B273" s="317"/>
      <c r="C273" s="577"/>
      <c r="D273" s="577"/>
      <c r="E273" s="577"/>
      <c r="F273" s="317"/>
      <c r="G273" s="317"/>
    </row>
    <row r="274" spans="1:7" ht="18">
      <c r="A274" s="317"/>
      <c r="B274" s="317"/>
      <c r="C274" s="577"/>
      <c r="D274" s="577"/>
      <c r="E274" s="577"/>
      <c r="F274" s="317"/>
      <c r="G274" s="31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</sheetData>
  <sheetProtection algorithmName="SHA-512" hashValue="4CGEGBaMZXxFhihIiMzramQNDc54UdgjbPkCbTUiOztfu/omWwm0qHwljqDWOxXq06fn6jiJRompG+gWLlED1Q==" saltValue="G+9PdK47z1T0cwYhOBZEsA==" spinCount="100000" sheet="1" objects="1" scenarios="1"/>
  <mergeCells count="18">
    <mergeCell ref="B124:D124"/>
    <mergeCell ref="B125:D125"/>
    <mergeCell ref="F125:G125"/>
    <mergeCell ref="A128:G128"/>
    <mergeCell ref="A72:G72"/>
    <mergeCell ref="E76:F76"/>
    <mergeCell ref="B83:D83"/>
    <mergeCell ref="B84:D84"/>
    <mergeCell ref="F84:G84"/>
    <mergeCell ref="E117:F117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49F1B-27B9-408A-91E9-D71755B2629F}">
  <dimension ref="A1:K993"/>
  <sheetViews>
    <sheetView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9" width="8.85546875" style="314"/>
    <col min="10" max="10" width="12.7109375" style="314" bestFit="1" customWidth="1"/>
    <col min="11" max="11" width="11.28515625" style="314" bestFit="1" customWidth="1"/>
    <col min="12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5" t="s">
        <v>576</v>
      </c>
      <c r="B5" s="315"/>
      <c r="C5" s="315"/>
      <c r="D5" s="396"/>
      <c r="E5" s="315"/>
      <c r="F5" s="315"/>
      <c r="G5" s="315"/>
    </row>
    <row r="6" spans="1:7" ht="16.5" thickTop="1" thickBot="1">
      <c r="A6" s="1228" t="s">
        <v>16</v>
      </c>
      <c r="B6" s="1228" t="s">
        <v>17</v>
      </c>
      <c r="C6" s="1230" t="s">
        <v>561</v>
      </c>
      <c r="D6" s="1231" t="s">
        <v>577</v>
      </c>
      <c r="E6" s="1242"/>
      <c r="F6" s="1243"/>
      <c r="G6" s="1228" t="s">
        <v>556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5"/>
      <c r="C10" s="325"/>
      <c r="D10" s="325"/>
      <c r="E10" s="325"/>
      <c r="F10" s="380"/>
      <c r="G10" s="327"/>
    </row>
    <row r="11" spans="1:7" ht="18">
      <c r="A11" s="328" t="s">
        <v>34</v>
      </c>
      <c r="B11" s="329"/>
      <c r="C11" s="540"/>
      <c r="D11" s="540"/>
      <c r="E11" s="540"/>
      <c r="F11" s="381"/>
      <c r="G11" s="332"/>
    </row>
    <row r="12" spans="1:7" ht="18">
      <c r="A12" s="333" t="s">
        <v>35</v>
      </c>
      <c r="B12" s="334"/>
      <c r="C12" s="334"/>
      <c r="D12" s="334"/>
      <c r="E12" s="334"/>
      <c r="F12" s="383"/>
      <c r="G12" s="337"/>
    </row>
    <row r="13" spans="1:7" ht="18">
      <c r="A13" s="338" t="s">
        <v>36</v>
      </c>
      <c r="B13" s="339" t="s">
        <v>37</v>
      </c>
      <c r="C13" s="36">
        <v>6103413.5899999999</v>
      </c>
      <c r="D13" s="85">
        <v>3408324</v>
      </c>
      <c r="E13" s="36">
        <f t="shared" ref="E13:E14" si="0">F13-D13</f>
        <v>4945536</v>
      </c>
      <c r="F13" s="37">
        <v>8353860</v>
      </c>
      <c r="G13" s="37">
        <v>8889628</v>
      </c>
    </row>
    <row r="14" spans="1:7" ht="18">
      <c r="A14" s="338" t="s">
        <v>216</v>
      </c>
      <c r="B14" s="339" t="s">
        <v>39</v>
      </c>
      <c r="C14" s="36">
        <v>455000</v>
      </c>
      <c r="D14" s="85">
        <v>232817.8</v>
      </c>
      <c r="E14" s="36">
        <f t="shared" si="0"/>
        <v>235182.2</v>
      </c>
      <c r="F14" s="37">
        <v>468000</v>
      </c>
      <c r="G14" s="37">
        <v>495045</v>
      </c>
    </row>
    <row r="15" spans="1:7" ht="18">
      <c r="A15" s="333" t="s">
        <v>40</v>
      </c>
      <c r="B15" s="360"/>
      <c r="C15" s="36"/>
      <c r="D15" s="85"/>
      <c r="E15" s="85"/>
      <c r="F15" s="37"/>
      <c r="G15" s="37"/>
    </row>
    <row r="16" spans="1:7" ht="18">
      <c r="A16" s="338" t="s">
        <v>41</v>
      </c>
      <c r="B16" s="339" t="s">
        <v>42</v>
      </c>
      <c r="C16" s="36">
        <v>386090.91</v>
      </c>
      <c r="D16" s="85">
        <v>191818.22</v>
      </c>
      <c r="E16" s="36">
        <f t="shared" ref="E16:E19" si="1">F16-D16</f>
        <v>360181.78</v>
      </c>
      <c r="F16" s="37">
        <v>552000</v>
      </c>
      <c r="G16" s="37">
        <v>552000</v>
      </c>
    </row>
    <row r="17" spans="1:11" ht="18">
      <c r="A17" s="338" t="s">
        <v>43</v>
      </c>
      <c r="B17" s="339" t="s">
        <v>44</v>
      </c>
      <c r="C17" s="36">
        <v>183500</v>
      </c>
      <c r="D17" s="85">
        <v>96000</v>
      </c>
      <c r="E17" s="36">
        <f t="shared" si="1"/>
        <v>96000</v>
      </c>
      <c r="F17" s="37">
        <v>192000</v>
      </c>
      <c r="G17" s="37">
        <v>216000</v>
      </c>
    </row>
    <row r="18" spans="1:11" ht="18">
      <c r="A18" s="338" t="s">
        <v>45</v>
      </c>
      <c r="B18" s="339" t="s">
        <v>46</v>
      </c>
      <c r="C18" s="36">
        <v>183500</v>
      </c>
      <c r="D18" s="85">
        <v>96000</v>
      </c>
      <c r="E18" s="36">
        <f t="shared" si="1"/>
        <v>96000</v>
      </c>
      <c r="F18" s="37">
        <v>192000</v>
      </c>
      <c r="G18" s="37">
        <v>216000</v>
      </c>
    </row>
    <row r="19" spans="1:11" ht="18">
      <c r="A19" s="338" t="s">
        <v>47</v>
      </c>
      <c r="B19" s="339" t="s">
        <v>48</v>
      </c>
      <c r="C19" s="36">
        <v>90000</v>
      </c>
      <c r="D19" s="117">
        <v>78000</v>
      </c>
      <c r="E19" s="36">
        <f t="shared" si="1"/>
        <v>60000</v>
      </c>
      <c r="F19" s="37">
        <v>138000</v>
      </c>
      <c r="G19" s="37">
        <v>161000</v>
      </c>
    </row>
    <row r="20" spans="1:11" ht="18">
      <c r="A20" s="338" t="s">
        <v>49</v>
      </c>
      <c r="B20" s="339" t="s">
        <v>50</v>
      </c>
      <c r="C20" s="118">
        <v>76000</v>
      </c>
      <c r="D20" s="118">
        <v>0</v>
      </c>
      <c r="E20" s="36">
        <v>115000</v>
      </c>
      <c r="F20" s="37">
        <v>115000</v>
      </c>
      <c r="G20" s="37">
        <v>115000</v>
      </c>
    </row>
    <row r="21" spans="1:11" ht="18">
      <c r="A21" s="338" t="s">
        <v>53</v>
      </c>
      <c r="B21" s="339" t="s">
        <v>54</v>
      </c>
      <c r="C21" s="36">
        <v>543336</v>
      </c>
      <c r="D21" s="117">
        <v>0</v>
      </c>
      <c r="E21" s="36">
        <f t="shared" ref="E21:E23" si="2">F21-D21</f>
        <v>735155</v>
      </c>
      <c r="F21" s="37">
        <v>735155</v>
      </c>
      <c r="G21" s="37">
        <v>801421</v>
      </c>
    </row>
    <row r="22" spans="1:11" ht="18">
      <c r="A22" s="338" t="s">
        <v>55</v>
      </c>
      <c r="B22" s="339" t="s">
        <v>56</v>
      </c>
      <c r="C22" s="36">
        <v>77500</v>
      </c>
      <c r="D22" s="117">
        <v>0</v>
      </c>
      <c r="E22" s="36">
        <f t="shared" si="2"/>
        <v>115000</v>
      </c>
      <c r="F22" s="37">
        <v>115000</v>
      </c>
      <c r="G22" s="37">
        <v>115000</v>
      </c>
    </row>
    <row r="23" spans="1:11" ht="18">
      <c r="A23" s="338" t="s">
        <v>57</v>
      </c>
      <c r="B23" s="339" t="s">
        <v>58</v>
      </c>
      <c r="C23" s="36">
        <v>551129</v>
      </c>
      <c r="D23" s="67">
        <v>607054</v>
      </c>
      <c r="E23" s="36">
        <f t="shared" si="2"/>
        <v>128101</v>
      </c>
      <c r="F23" s="37">
        <v>735155</v>
      </c>
      <c r="G23" s="37">
        <v>768224</v>
      </c>
    </row>
    <row r="24" spans="1:11" ht="18">
      <c r="A24" s="338" t="s">
        <v>557</v>
      </c>
      <c r="B24" s="339" t="s">
        <v>58</v>
      </c>
      <c r="C24" s="36">
        <v>0</v>
      </c>
      <c r="D24" s="67">
        <v>0</v>
      </c>
      <c r="E24" s="85"/>
      <c r="F24" s="37"/>
      <c r="G24" s="37">
        <v>161000</v>
      </c>
    </row>
    <row r="25" spans="1:11" ht="18">
      <c r="A25" s="333" t="s">
        <v>59</v>
      </c>
      <c r="B25" s="360"/>
      <c r="C25" s="36"/>
      <c r="D25" s="85"/>
      <c r="E25" s="85"/>
      <c r="F25" s="37"/>
      <c r="G25" s="37"/>
    </row>
    <row r="26" spans="1:11" ht="18">
      <c r="A26" s="338" t="s">
        <v>60</v>
      </c>
      <c r="B26" s="339" t="s">
        <v>61</v>
      </c>
      <c r="C26" s="36">
        <v>786875.55</v>
      </c>
      <c r="D26" s="85">
        <v>436487.59</v>
      </c>
      <c r="E26" s="36">
        <f t="shared" ref="E26:E29" si="3">F26-D26</f>
        <v>622135.60999999987</v>
      </c>
      <c r="F26" s="37">
        <v>1058623.2</v>
      </c>
      <c r="G26" s="37">
        <v>1126160.76</v>
      </c>
    </row>
    <row r="27" spans="1:11" ht="18">
      <c r="A27" s="338" t="s">
        <v>62</v>
      </c>
      <c r="B27" s="339" t="s">
        <v>63</v>
      </c>
      <c r="C27" s="36">
        <v>18400</v>
      </c>
      <c r="D27" s="85">
        <v>17600</v>
      </c>
      <c r="E27" s="36">
        <f t="shared" si="3"/>
        <v>10000</v>
      </c>
      <c r="F27" s="37">
        <v>27600</v>
      </c>
      <c r="G27" s="37">
        <v>55200</v>
      </c>
    </row>
    <row r="28" spans="1:11" ht="18">
      <c r="A28" s="338" t="s">
        <v>64</v>
      </c>
      <c r="B28" s="339" t="s">
        <v>65</v>
      </c>
      <c r="C28" s="36">
        <v>117873.5</v>
      </c>
      <c r="D28" s="85">
        <v>95085.759999999995</v>
      </c>
      <c r="E28" s="36">
        <f t="shared" si="3"/>
        <v>96354.680000000008</v>
      </c>
      <c r="F28" s="37">
        <v>191440.44</v>
      </c>
      <c r="G28" s="37">
        <v>227634.78</v>
      </c>
    </row>
    <row r="29" spans="1:11" ht="18">
      <c r="A29" s="341" t="s">
        <v>66</v>
      </c>
      <c r="B29" s="425" t="s">
        <v>67</v>
      </c>
      <c r="C29" s="36">
        <v>18500</v>
      </c>
      <c r="D29" s="41">
        <v>9650</v>
      </c>
      <c r="E29" s="41">
        <f t="shared" si="3"/>
        <v>17950</v>
      </c>
      <c r="F29" s="119">
        <v>27600</v>
      </c>
      <c r="G29" s="45">
        <v>27600</v>
      </c>
    </row>
    <row r="30" spans="1:11" ht="18">
      <c r="A30" s="333" t="s">
        <v>68</v>
      </c>
      <c r="B30" s="752"/>
      <c r="C30" s="47"/>
      <c r="D30" s="47"/>
      <c r="E30" s="47"/>
      <c r="F30" s="120"/>
      <c r="G30" s="121"/>
    </row>
    <row r="31" spans="1:11" ht="18.75" thickBot="1">
      <c r="A31" s="426" t="s">
        <v>558</v>
      </c>
      <c r="B31" s="339" t="s">
        <v>520</v>
      </c>
      <c r="C31" s="73">
        <v>0</v>
      </c>
      <c r="D31" s="73">
        <v>0</v>
      </c>
      <c r="E31" s="945"/>
      <c r="F31" s="49"/>
      <c r="G31" s="49">
        <f>(G13+G14)/12*10*0.0481927</f>
        <v>376893.94207258336</v>
      </c>
      <c r="J31" s="122"/>
      <c r="K31" s="122"/>
    </row>
    <row r="32" spans="1:11" ht="19.5" thickTop="1" thickBot="1">
      <c r="A32" s="351" t="s">
        <v>71</v>
      </c>
      <c r="B32" s="352"/>
      <c r="C32" s="75">
        <f t="shared" ref="C32:F32" si="4">SUM(C13:C29)</f>
        <v>9591118.5500000007</v>
      </c>
      <c r="D32" s="75">
        <f>SUM(D13:D31)</f>
        <v>5268837.3699999992</v>
      </c>
      <c r="E32" s="75">
        <f t="shared" si="4"/>
        <v>7632596.2699999996</v>
      </c>
      <c r="F32" s="75">
        <f t="shared" si="4"/>
        <v>12901433.639999999</v>
      </c>
      <c r="G32" s="77">
        <f>SUM(G13:G31)</f>
        <v>14303807.482072582</v>
      </c>
      <c r="J32" s="558">
        <f>G32-F32</f>
        <v>1402373.8420725837</v>
      </c>
    </row>
    <row r="33" spans="1:11" ht="18.75" thickTop="1">
      <c r="A33" s="355" t="s">
        <v>72</v>
      </c>
      <c r="B33" s="356"/>
      <c r="C33" s="427"/>
      <c r="D33" s="427"/>
      <c r="E33" s="427"/>
      <c r="F33" s="547"/>
      <c r="G33" s="327"/>
    </row>
    <row r="34" spans="1:11" ht="18">
      <c r="A34" s="359" t="s">
        <v>77</v>
      </c>
      <c r="B34" s="360" t="s">
        <v>78</v>
      </c>
      <c r="C34" s="38">
        <v>12437</v>
      </c>
      <c r="D34" s="38">
        <v>0</v>
      </c>
      <c r="E34" s="36">
        <f t="shared" ref="E34:E38" si="5">F34-D34</f>
        <v>25000</v>
      </c>
      <c r="F34" s="92">
        <v>25000</v>
      </c>
      <c r="G34" s="92">
        <v>0</v>
      </c>
    </row>
    <row r="35" spans="1:11" ht="18">
      <c r="A35" s="359" t="s">
        <v>195</v>
      </c>
      <c r="B35" s="360" t="s">
        <v>196</v>
      </c>
      <c r="C35" s="36">
        <v>0</v>
      </c>
      <c r="D35" s="55">
        <v>0</v>
      </c>
      <c r="E35" s="36">
        <f t="shared" si="5"/>
        <v>8000</v>
      </c>
      <c r="F35" s="37">
        <v>8000</v>
      </c>
      <c r="G35" s="37">
        <v>0</v>
      </c>
    </row>
    <row r="36" spans="1:11" ht="18">
      <c r="A36" s="359" t="s">
        <v>83</v>
      </c>
      <c r="B36" s="360" t="s">
        <v>84</v>
      </c>
      <c r="C36" s="55">
        <v>60000</v>
      </c>
      <c r="D36" s="56">
        <v>25000</v>
      </c>
      <c r="E36" s="36">
        <f t="shared" si="5"/>
        <v>35000</v>
      </c>
      <c r="F36" s="37">
        <v>60000</v>
      </c>
      <c r="G36" s="37">
        <v>0</v>
      </c>
    </row>
    <row r="37" spans="1:11" ht="18">
      <c r="A37" s="359" t="s">
        <v>199</v>
      </c>
      <c r="B37" s="360" t="s">
        <v>200</v>
      </c>
      <c r="C37" s="55">
        <v>0</v>
      </c>
      <c r="D37" s="55">
        <v>366915</v>
      </c>
      <c r="E37" s="36">
        <f t="shared" si="5"/>
        <v>438285</v>
      </c>
      <c r="F37" s="37">
        <v>805200</v>
      </c>
      <c r="G37" s="37">
        <v>681120</v>
      </c>
    </row>
    <row r="38" spans="1:11" ht="18">
      <c r="A38" s="538" t="s">
        <v>578</v>
      </c>
      <c r="B38" s="360" t="s">
        <v>227</v>
      </c>
      <c r="C38" s="55">
        <v>0</v>
      </c>
      <c r="D38" s="55">
        <v>12500</v>
      </c>
      <c r="E38" s="36">
        <f t="shared" si="5"/>
        <v>17500</v>
      </c>
      <c r="F38" s="37">
        <v>30000</v>
      </c>
      <c r="G38" s="37">
        <v>0</v>
      </c>
    </row>
    <row r="39" spans="1:11" ht="18">
      <c r="A39" s="359" t="s">
        <v>108</v>
      </c>
      <c r="B39" s="435" t="s">
        <v>109</v>
      </c>
      <c r="C39" s="36"/>
      <c r="D39" s="36"/>
      <c r="E39" s="36"/>
      <c r="F39" s="37"/>
      <c r="G39" s="37"/>
    </row>
    <row r="40" spans="1:11" ht="18">
      <c r="A40" s="858" t="s">
        <v>458</v>
      </c>
      <c r="B40" s="825"/>
      <c r="C40" s="72">
        <v>26901</v>
      </c>
      <c r="D40" s="96">
        <v>0</v>
      </c>
      <c r="E40" s="72">
        <f t="shared" ref="E40:E43" si="6">F40-D40</f>
        <v>40000</v>
      </c>
      <c r="F40" s="123">
        <v>40000</v>
      </c>
      <c r="G40" s="123">
        <v>0</v>
      </c>
    </row>
    <row r="41" spans="1:11" ht="18">
      <c r="A41" s="541" t="s">
        <v>459</v>
      </c>
      <c r="B41" s="435"/>
      <c r="C41" s="38">
        <v>0</v>
      </c>
      <c r="D41" s="38">
        <v>0</v>
      </c>
      <c r="E41" s="36">
        <f t="shared" si="6"/>
        <v>12000</v>
      </c>
      <c r="F41" s="37">
        <v>12000</v>
      </c>
      <c r="G41" s="37">
        <v>0</v>
      </c>
    </row>
    <row r="42" spans="1:11" ht="18">
      <c r="A42" s="541" t="s">
        <v>460</v>
      </c>
      <c r="B42" s="435"/>
      <c r="C42" s="38">
        <v>0</v>
      </c>
      <c r="D42" s="38">
        <v>0</v>
      </c>
      <c r="E42" s="36">
        <f t="shared" si="6"/>
        <v>12000</v>
      </c>
      <c r="F42" s="37">
        <v>12000</v>
      </c>
      <c r="G42" s="37">
        <v>0</v>
      </c>
    </row>
    <row r="43" spans="1:11" ht="18.75" thickBot="1">
      <c r="A43" s="982" t="s">
        <v>461</v>
      </c>
      <c r="B43" s="860"/>
      <c r="C43" s="124">
        <v>0</v>
      </c>
      <c r="D43" s="124">
        <v>0</v>
      </c>
      <c r="E43" s="73">
        <f t="shared" si="6"/>
        <v>54600</v>
      </c>
      <c r="F43" s="74">
        <v>54600</v>
      </c>
      <c r="G43" s="74">
        <v>0</v>
      </c>
    </row>
    <row r="44" spans="1:11" ht="19.5" thickTop="1" thickBot="1">
      <c r="A44" s="351" t="s">
        <v>162</v>
      </c>
      <c r="B44" s="367"/>
      <c r="C44" s="75">
        <f>SUM(C34:C43)</f>
        <v>99338</v>
      </c>
      <c r="D44" s="75">
        <f>SUM(D34:D43)</f>
        <v>404415</v>
      </c>
      <c r="E44" s="75">
        <f>SUM(E34:E43)</f>
        <v>642385</v>
      </c>
      <c r="F44" s="75">
        <f>SUM(F34:F43)</f>
        <v>1046800</v>
      </c>
      <c r="G44" s="75">
        <f>SUM(G34:G43)</f>
        <v>681120</v>
      </c>
      <c r="J44" s="558">
        <f>F44*0.35</f>
        <v>366380</v>
      </c>
      <c r="K44" s="558">
        <f>F44-J44</f>
        <v>680420</v>
      </c>
    </row>
    <row r="45" spans="1:11" ht="19.5" thickTop="1" thickBot="1">
      <c r="A45" s="351" t="s">
        <v>181</v>
      </c>
      <c r="B45" s="367"/>
      <c r="C45" s="75">
        <f t="shared" ref="C45:F45" si="7">C32+C44</f>
        <v>9690456.5500000007</v>
      </c>
      <c r="D45" s="75">
        <f t="shared" si="7"/>
        <v>5673252.3699999992</v>
      </c>
      <c r="E45" s="75">
        <f t="shared" si="7"/>
        <v>8274981.2699999996</v>
      </c>
      <c r="F45" s="75">
        <f t="shared" si="7"/>
        <v>13948233.639999999</v>
      </c>
      <c r="G45" s="75">
        <f>G32+G44</f>
        <v>14984927.482072582</v>
      </c>
    </row>
    <row r="46" spans="1:11" ht="18.75" thickTop="1">
      <c r="A46" s="317"/>
      <c r="B46" s="317"/>
      <c r="C46" s="317"/>
      <c r="D46" s="317"/>
      <c r="E46" s="317"/>
      <c r="F46" s="317"/>
      <c r="G46" s="317"/>
    </row>
    <row r="47" spans="1:11" ht="18">
      <c r="A47" s="317"/>
      <c r="B47" s="317"/>
      <c r="C47" s="318"/>
      <c r="D47" s="317"/>
      <c r="E47" s="317"/>
      <c r="F47" s="317"/>
      <c r="G47" s="317"/>
    </row>
    <row r="48" spans="1:11" ht="18">
      <c r="A48" s="317"/>
      <c r="B48" s="317"/>
      <c r="C48" s="317"/>
      <c r="D48" s="317"/>
      <c r="E48" s="317"/>
      <c r="F48" s="317"/>
      <c r="G48" s="317"/>
    </row>
    <row r="49" spans="1:7" ht="18">
      <c r="A49" s="317"/>
      <c r="B49" s="317"/>
      <c r="C49" s="317"/>
      <c r="D49" s="317"/>
      <c r="E49" s="317"/>
      <c r="F49" s="317"/>
      <c r="G49" s="317"/>
    </row>
    <row r="50" spans="1:7" ht="18">
      <c r="A50" s="317"/>
      <c r="B50" s="317"/>
      <c r="C50" s="317"/>
      <c r="D50" s="317"/>
      <c r="E50" s="317"/>
      <c r="F50" s="317"/>
      <c r="G50" s="317"/>
    </row>
    <row r="51" spans="1:7" ht="18">
      <c r="A51" s="317"/>
      <c r="B51" s="317"/>
      <c r="C51" s="317"/>
      <c r="D51" s="317"/>
      <c r="E51" s="317"/>
      <c r="F51" s="317"/>
      <c r="G51" s="317"/>
    </row>
    <row r="52" spans="1:7" ht="18">
      <c r="A52" s="317"/>
      <c r="B52" s="317"/>
      <c r="C52" s="317"/>
      <c r="D52" s="317"/>
      <c r="E52" s="317"/>
      <c r="F52" s="317"/>
      <c r="G52" s="317"/>
    </row>
    <row r="53" spans="1:7" ht="18">
      <c r="A53" s="317"/>
      <c r="B53" s="317"/>
      <c r="C53" s="317"/>
      <c r="D53" s="317"/>
      <c r="E53" s="317"/>
      <c r="F53" s="317"/>
      <c r="G53" s="317"/>
    </row>
    <row r="54" spans="1:7" ht="18">
      <c r="A54" s="309"/>
      <c r="B54" s="1239"/>
      <c r="C54" s="1236"/>
      <c r="D54" s="1236"/>
      <c r="E54" s="369"/>
      <c r="F54" s="1240"/>
      <c r="G54" s="1241"/>
    </row>
    <row r="55" spans="1:7" ht="18">
      <c r="A55" s="371"/>
      <c r="B55" s="1235"/>
      <c r="C55" s="1236"/>
      <c r="D55" s="1236"/>
      <c r="E55" s="372"/>
      <c r="F55" s="1237"/>
      <c r="G55" s="1241"/>
    </row>
    <row r="56" spans="1:7" ht="18">
      <c r="A56" s="317"/>
      <c r="B56" s="317"/>
      <c r="C56" s="317"/>
      <c r="D56" s="317"/>
      <c r="E56" s="317"/>
      <c r="F56" s="317"/>
      <c r="G56" s="317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/>
      <c r="B58" s="317"/>
      <c r="C58" s="317"/>
      <c r="D58" s="317"/>
      <c r="E58" s="317"/>
      <c r="F58" s="317"/>
      <c r="G58" s="317"/>
    </row>
    <row r="59" spans="1:7" ht="18">
      <c r="A59" s="317"/>
      <c r="B59" s="317"/>
      <c r="C59" s="317"/>
      <c r="D59" s="317"/>
      <c r="E59" s="317"/>
      <c r="F59" s="317"/>
      <c r="G59" s="317"/>
    </row>
    <row r="60" spans="1:7" ht="18">
      <c r="A60" s="317"/>
      <c r="B60" s="317"/>
      <c r="C60" s="317"/>
      <c r="D60" s="317"/>
      <c r="E60" s="317"/>
      <c r="F60" s="317"/>
      <c r="G60" s="317"/>
    </row>
    <row r="61" spans="1:7" ht="18">
      <c r="A61" s="317"/>
      <c r="B61" s="317"/>
      <c r="C61" s="317"/>
      <c r="D61" s="317"/>
      <c r="E61" s="317"/>
      <c r="F61" s="317"/>
      <c r="G61" s="317"/>
    </row>
    <row r="62" spans="1:7" ht="18">
      <c r="A62" s="317" t="s">
        <v>183</v>
      </c>
      <c r="B62" s="317" t="s">
        <v>184</v>
      </c>
      <c r="C62" s="317"/>
      <c r="D62" s="317"/>
      <c r="E62" s="317"/>
      <c r="F62" s="317" t="s">
        <v>185</v>
      </c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8">
      <c r="A64" s="317"/>
      <c r="B64" s="317"/>
      <c r="C64" s="317"/>
      <c r="D64" s="317"/>
      <c r="E64" s="317"/>
      <c r="F64" s="317"/>
      <c r="G64" s="317"/>
    </row>
    <row r="65" spans="1:7" ht="18">
      <c r="A65" s="317"/>
      <c r="B65" s="317"/>
      <c r="C65" s="317"/>
      <c r="D65" s="317"/>
      <c r="E65" s="317"/>
      <c r="F65" s="317"/>
      <c r="G65" s="31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17"/>
      <c r="B68" s="317"/>
      <c r="C68" s="317"/>
      <c r="D68" s="317"/>
      <c r="E68" s="317"/>
      <c r="F68" s="317"/>
      <c r="G68" s="317"/>
    </row>
    <row r="69" spans="1:7" ht="18">
      <c r="A69" s="309" t="s">
        <v>462</v>
      </c>
      <c r="B69" s="1239" t="s">
        <v>187</v>
      </c>
      <c r="C69" s="1236"/>
      <c r="D69" s="1236"/>
      <c r="E69" s="369"/>
      <c r="F69" s="1240" t="s">
        <v>188</v>
      </c>
      <c r="G69" s="1241"/>
    </row>
    <row r="70" spans="1:7" ht="18">
      <c r="A70" s="371" t="s">
        <v>463</v>
      </c>
      <c r="B70" s="1235" t="s">
        <v>190</v>
      </c>
      <c r="C70" s="1236"/>
      <c r="D70" s="1236"/>
      <c r="E70" s="372"/>
      <c r="F70" s="1237" t="s">
        <v>191</v>
      </c>
      <c r="G70" s="1241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8">
      <c r="A72" s="317"/>
      <c r="B72" s="317"/>
      <c r="C72" s="317"/>
      <c r="D72" s="317"/>
      <c r="E72" s="317"/>
      <c r="F72" s="317"/>
      <c r="G72" s="317"/>
    </row>
    <row r="73" spans="1:7" ht="16.5">
      <c r="A73" s="1238" t="s">
        <v>194</v>
      </c>
      <c r="B73" s="1238"/>
      <c r="C73" s="1238"/>
      <c r="D73" s="1238"/>
      <c r="E73" s="1238"/>
      <c r="F73" s="1238"/>
      <c r="G73" s="1238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>
      <c r="A246" s="377"/>
      <c r="B246" s="377"/>
      <c r="C246" s="377"/>
      <c r="D246" s="377"/>
      <c r="E246" s="377"/>
      <c r="F246" s="377"/>
      <c r="G246" s="377"/>
    </row>
    <row r="247" spans="1:7">
      <c r="A247" s="377"/>
      <c r="B247" s="377"/>
      <c r="C247" s="377"/>
      <c r="D247" s="377"/>
      <c r="E247" s="377"/>
      <c r="F247" s="377"/>
      <c r="G247" s="377"/>
    </row>
    <row r="248" spans="1:7">
      <c r="A248" s="377"/>
      <c r="B248" s="377"/>
      <c r="C248" s="377"/>
      <c r="D248" s="377"/>
      <c r="E248" s="377"/>
      <c r="F248" s="377"/>
      <c r="G248" s="377"/>
    </row>
    <row r="249" spans="1:7">
      <c r="A249" s="377"/>
      <c r="B249" s="377"/>
      <c r="C249" s="377"/>
      <c r="D249" s="377"/>
      <c r="E249" s="377"/>
      <c r="F249" s="377"/>
      <c r="G249" s="377"/>
    </row>
    <row r="250" spans="1:7">
      <c r="A250" s="377"/>
      <c r="B250" s="377"/>
      <c r="C250" s="377"/>
      <c r="D250" s="377"/>
      <c r="E250" s="377"/>
      <c r="F250" s="377"/>
      <c r="G250" s="377"/>
    </row>
    <row r="251" spans="1:7">
      <c r="A251" s="377"/>
      <c r="B251" s="377"/>
      <c r="C251" s="377"/>
      <c r="D251" s="377"/>
      <c r="E251" s="377"/>
      <c r="F251" s="377"/>
      <c r="G251" s="377"/>
    </row>
    <row r="252" spans="1:7">
      <c r="A252" s="377"/>
      <c r="B252" s="377"/>
      <c r="C252" s="377"/>
      <c r="D252" s="377"/>
      <c r="E252" s="377"/>
      <c r="F252" s="377"/>
      <c r="G252" s="37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</sheetData>
  <sheetProtection algorithmName="SHA-512" hashValue="pp3WMSMJHjsjkTC53giIp7i/+GuFm17BU+maYpyefKuxyDe/aUlUjfHwBDNUGupzf97RPyq6E31173xvocs+kQ==" saltValue="iC467uoRTZa7iemEWmA9rA==" spinCount="100000" sheet="1" objects="1" scenarios="1"/>
  <mergeCells count="17">
    <mergeCell ref="B70:D70"/>
    <mergeCell ref="F70:G70"/>
    <mergeCell ref="A73:G73"/>
    <mergeCell ref="B54:D54"/>
    <mergeCell ref="F54:G54"/>
    <mergeCell ref="B55:D55"/>
    <mergeCell ref="F55:G55"/>
    <mergeCell ref="B69:D69"/>
    <mergeCell ref="F69:G69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0CCCE-6E03-4A25-9F0D-F8F441F5D613}">
  <dimension ref="A1:K993"/>
  <sheetViews>
    <sheetView topLeftCell="A16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8" width="8.85546875" style="314"/>
    <col min="9" max="10" width="14.28515625" style="314" bestFit="1" customWidth="1"/>
    <col min="11" max="11" width="13" style="314" bestFit="1" customWidth="1"/>
    <col min="12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2"/>
      <c r="B4" s="312"/>
      <c r="C4" s="313"/>
      <c r="D4" s="313"/>
      <c r="E4" s="313"/>
      <c r="F4" s="312"/>
      <c r="G4" s="312"/>
    </row>
    <row r="5" spans="1:7" ht="18.75" thickBot="1">
      <c r="A5" s="312" t="s">
        <v>579</v>
      </c>
      <c r="B5" s="312"/>
      <c r="C5" s="312"/>
      <c r="D5" s="983"/>
      <c r="E5" s="312"/>
      <c r="F5" s="312"/>
      <c r="G5" s="312"/>
    </row>
    <row r="6" spans="1:7" ht="16.5" thickTop="1" thickBot="1">
      <c r="A6" s="1228" t="s">
        <v>16</v>
      </c>
      <c r="B6" s="1228" t="s">
        <v>17</v>
      </c>
      <c r="C6" s="1230" t="s">
        <v>580</v>
      </c>
      <c r="D6" s="1231" t="s">
        <v>581</v>
      </c>
      <c r="E6" s="1242"/>
      <c r="F6" s="1243"/>
      <c r="G6" s="1228" t="s">
        <v>556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984" t="s">
        <v>33</v>
      </c>
      <c r="B10" s="985"/>
      <c r="C10" s="985"/>
      <c r="D10" s="985"/>
      <c r="E10" s="985"/>
      <c r="F10" s="986"/>
      <c r="G10" s="987"/>
    </row>
    <row r="11" spans="1:7" ht="18">
      <c r="A11" s="988" t="s">
        <v>34</v>
      </c>
      <c r="B11" s="989"/>
      <c r="C11" s="990"/>
      <c r="D11" s="990"/>
      <c r="E11" s="990"/>
      <c r="F11" s="991"/>
      <c r="G11" s="992"/>
    </row>
    <row r="12" spans="1:7" ht="18">
      <c r="A12" s="340" t="s">
        <v>35</v>
      </c>
      <c r="B12" s="382"/>
      <c r="C12" s="382"/>
      <c r="D12" s="382"/>
      <c r="E12" s="382"/>
      <c r="F12" s="993"/>
      <c r="G12" s="994"/>
    </row>
    <row r="13" spans="1:7" ht="18">
      <c r="A13" s="338" t="s">
        <v>36</v>
      </c>
      <c r="B13" s="339" t="s">
        <v>37</v>
      </c>
      <c r="C13" s="36">
        <v>17059975.370000001</v>
      </c>
      <c r="D13" s="126">
        <v>9054523.25</v>
      </c>
      <c r="E13" s="36">
        <f t="shared" ref="E13:E14" si="0">F13-D13</f>
        <v>15067420.75</v>
      </c>
      <c r="F13" s="92">
        <v>24121944</v>
      </c>
      <c r="G13" s="92">
        <v>25769807</v>
      </c>
    </row>
    <row r="14" spans="1:7" ht="18">
      <c r="A14" s="338" t="s">
        <v>216</v>
      </c>
      <c r="B14" s="339" t="s">
        <v>39</v>
      </c>
      <c r="C14" s="36">
        <v>929500</v>
      </c>
      <c r="D14" s="126">
        <v>468000</v>
      </c>
      <c r="E14" s="36">
        <f t="shared" si="0"/>
        <v>468000</v>
      </c>
      <c r="F14" s="92">
        <v>936000</v>
      </c>
      <c r="G14" s="92">
        <v>990090</v>
      </c>
    </row>
    <row r="15" spans="1:7" ht="18">
      <c r="A15" s="340" t="s">
        <v>40</v>
      </c>
      <c r="B15" s="339"/>
      <c r="C15" s="36"/>
      <c r="D15" s="126"/>
      <c r="E15" s="126"/>
      <c r="F15" s="92"/>
      <c r="G15" s="92"/>
    </row>
    <row r="16" spans="1:7" ht="18">
      <c r="A16" s="338" t="s">
        <v>41</v>
      </c>
      <c r="B16" s="339" t="s">
        <v>42</v>
      </c>
      <c r="C16" s="36">
        <v>1059727.31</v>
      </c>
      <c r="D16" s="126">
        <v>563636.38</v>
      </c>
      <c r="E16" s="36">
        <f t="shared" ref="E16:E19" si="1">F16-D16</f>
        <v>900363.62</v>
      </c>
      <c r="F16" s="92">
        <v>1464000</v>
      </c>
      <c r="G16" s="92">
        <v>1464000</v>
      </c>
    </row>
    <row r="17" spans="1:11" ht="18">
      <c r="A17" s="338" t="s">
        <v>43</v>
      </c>
      <c r="B17" s="339" t="s">
        <v>44</v>
      </c>
      <c r="C17" s="36">
        <v>192000</v>
      </c>
      <c r="D17" s="126">
        <v>96000</v>
      </c>
      <c r="E17" s="36">
        <f t="shared" si="1"/>
        <v>96000</v>
      </c>
      <c r="F17" s="92">
        <v>192000</v>
      </c>
      <c r="G17" s="92">
        <v>216000</v>
      </c>
    </row>
    <row r="18" spans="1:11" ht="18">
      <c r="A18" s="338" t="s">
        <v>45</v>
      </c>
      <c r="B18" s="339" t="s">
        <v>46</v>
      </c>
      <c r="C18" s="36">
        <v>192000</v>
      </c>
      <c r="D18" s="126">
        <v>96000</v>
      </c>
      <c r="E18" s="36">
        <f t="shared" si="1"/>
        <v>96000</v>
      </c>
      <c r="F18" s="92">
        <v>192000</v>
      </c>
      <c r="G18" s="92">
        <v>216000</v>
      </c>
    </row>
    <row r="19" spans="1:11" ht="18">
      <c r="A19" s="338" t="s">
        <v>47</v>
      </c>
      <c r="B19" s="339" t="s">
        <v>48</v>
      </c>
      <c r="C19" s="36">
        <v>264000</v>
      </c>
      <c r="D19" s="127">
        <v>264000</v>
      </c>
      <c r="E19" s="36">
        <f t="shared" si="1"/>
        <v>102000</v>
      </c>
      <c r="F19" s="92">
        <v>366000</v>
      </c>
      <c r="G19" s="92">
        <v>427000</v>
      </c>
    </row>
    <row r="20" spans="1:11" ht="18">
      <c r="A20" s="338" t="s">
        <v>49</v>
      </c>
      <c r="B20" s="339" t="s">
        <v>50</v>
      </c>
      <c r="C20" s="38">
        <v>222000</v>
      </c>
      <c r="D20" s="38">
        <v>0</v>
      </c>
      <c r="E20" s="38">
        <v>305000</v>
      </c>
      <c r="F20" s="37">
        <v>305000</v>
      </c>
      <c r="G20" s="37">
        <v>305000</v>
      </c>
    </row>
    <row r="21" spans="1:11" ht="18">
      <c r="A21" s="338" t="s">
        <v>53</v>
      </c>
      <c r="B21" s="339" t="s">
        <v>54</v>
      </c>
      <c r="C21" s="36">
        <v>1509111</v>
      </c>
      <c r="D21" s="127">
        <v>0</v>
      </c>
      <c r="E21" s="36">
        <f t="shared" ref="E21:E23" si="2">F21-D21</f>
        <v>2088162</v>
      </c>
      <c r="F21" s="92">
        <v>2088162</v>
      </c>
      <c r="G21" s="92">
        <v>2288603</v>
      </c>
    </row>
    <row r="22" spans="1:11" ht="18">
      <c r="A22" s="338" t="s">
        <v>55</v>
      </c>
      <c r="B22" s="339" t="s">
        <v>56</v>
      </c>
      <c r="C22" s="36">
        <v>220000</v>
      </c>
      <c r="D22" s="127">
        <v>0</v>
      </c>
      <c r="E22" s="36">
        <f t="shared" si="2"/>
        <v>305000</v>
      </c>
      <c r="F22" s="92">
        <v>305000</v>
      </c>
      <c r="G22" s="92">
        <v>305000</v>
      </c>
    </row>
    <row r="23" spans="1:11" ht="18">
      <c r="A23" s="338" t="s">
        <v>57</v>
      </c>
      <c r="B23" s="339" t="s">
        <v>58</v>
      </c>
      <c r="C23" s="36">
        <v>1414853</v>
      </c>
      <c r="D23" s="67">
        <v>1472919</v>
      </c>
      <c r="E23" s="36">
        <f t="shared" si="2"/>
        <v>615243</v>
      </c>
      <c r="F23" s="37">
        <v>2088162</v>
      </c>
      <c r="G23" s="37">
        <v>2188126</v>
      </c>
    </row>
    <row r="24" spans="1:11" ht="18">
      <c r="A24" s="338" t="s">
        <v>557</v>
      </c>
      <c r="B24" s="339" t="s">
        <v>58</v>
      </c>
      <c r="C24" s="36">
        <v>0</v>
      </c>
      <c r="D24" s="880">
        <v>0</v>
      </c>
      <c r="E24" s="85"/>
      <c r="F24" s="37"/>
      <c r="G24" s="37">
        <v>427000</v>
      </c>
    </row>
    <row r="25" spans="1:11" ht="18">
      <c r="A25" s="340" t="s">
        <v>59</v>
      </c>
      <c r="B25" s="339"/>
      <c r="C25" s="36"/>
      <c r="D25" s="126"/>
      <c r="E25" s="126"/>
      <c r="F25" s="92"/>
      <c r="G25" s="92"/>
    </row>
    <row r="26" spans="1:11" ht="18">
      <c r="A26" s="338" t="s">
        <v>60</v>
      </c>
      <c r="B26" s="339" t="s">
        <v>61</v>
      </c>
      <c r="C26" s="36">
        <v>2157794.12</v>
      </c>
      <c r="D26" s="126">
        <v>1142881.97</v>
      </c>
      <c r="E26" s="36">
        <f t="shared" ref="E26:E29" si="3">F26-D26</f>
        <v>1864071.3099999998</v>
      </c>
      <c r="F26" s="92">
        <v>3006953.28</v>
      </c>
      <c r="G26" s="92">
        <v>3211187.64</v>
      </c>
    </row>
    <row r="27" spans="1:11" ht="18">
      <c r="A27" s="338" t="s">
        <v>62</v>
      </c>
      <c r="B27" s="339" t="s">
        <v>63</v>
      </c>
      <c r="C27" s="36">
        <v>53100</v>
      </c>
      <c r="D27" s="126">
        <v>51900</v>
      </c>
      <c r="E27" s="36">
        <f t="shared" si="3"/>
        <v>21300</v>
      </c>
      <c r="F27" s="92">
        <v>73200</v>
      </c>
      <c r="G27" s="92">
        <v>146400</v>
      </c>
    </row>
    <row r="28" spans="1:11" ht="18">
      <c r="A28" s="341" t="s">
        <v>64</v>
      </c>
      <c r="B28" s="342" t="s">
        <v>65</v>
      </c>
      <c r="C28" s="72">
        <v>348639.79</v>
      </c>
      <c r="D28" s="128">
        <v>252562.37</v>
      </c>
      <c r="E28" s="72">
        <f t="shared" si="3"/>
        <v>304189.27</v>
      </c>
      <c r="F28" s="108">
        <v>556751.64</v>
      </c>
      <c r="G28" s="108">
        <v>662015.38</v>
      </c>
    </row>
    <row r="29" spans="1:11" ht="18">
      <c r="A29" s="995" t="s">
        <v>66</v>
      </c>
      <c r="B29" s="750" t="s">
        <v>67</v>
      </c>
      <c r="C29" s="129">
        <v>53100</v>
      </c>
      <c r="D29" s="130">
        <v>28300</v>
      </c>
      <c r="E29" s="129">
        <f t="shared" si="3"/>
        <v>44900</v>
      </c>
      <c r="F29" s="131">
        <v>73200</v>
      </c>
      <c r="G29" s="131">
        <v>73200</v>
      </c>
    </row>
    <row r="30" spans="1:11" ht="18">
      <c r="A30" s="340" t="s">
        <v>68</v>
      </c>
      <c r="B30" s="996"/>
      <c r="C30" s="78"/>
      <c r="D30" s="132"/>
      <c r="E30" s="78"/>
      <c r="F30" s="133"/>
      <c r="G30" s="133"/>
    </row>
    <row r="31" spans="1:11" ht="18.75" thickBot="1">
      <c r="A31" s="341" t="s">
        <v>558</v>
      </c>
      <c r="B31" s="339" t="s">
        <v>520</v>
      </c>
      <c r="C31" s="843">
        <v>0</v>
      </c>
      <c r="D31" s="997">
        <v>0</v>
      </c>
      <c r="E31" s="843"/>
      <c r="F31" s="134"/>
      <c r="G31" s="134">
        <f>(G13+G14)/12*10*0.0481927</f>
        <v>1074693.0734599165</v>
      </c>
      <c r="K31" s="122"/>
    </row>
    <row r="32" spans="1:11" ht="19.5" thickTop="1" thickBot="1">
      <c r="A32" s="998" t="s">
        <v>71</v>
      </c>
      <c r="B32" s="999"/>
      <c r="C32" s="75">
        <f t="shared" ref="C32:F32" si="4">SUM(C13:C29)</f>
        <v>25675800.59</v>
      </c>
      <c r="D32" s="75">
        <f t="shared" si="4"/>
        <v>13490722.970000001</v>
      </c>
      <c r="E32" s="75">
        <f t="shared" si="4"/>
        <v>22277649.949999996</v>
      </c>
      <c r="F32" s="75">
        <f t="shared" si="4"/>
        <v>35768372.920000002</v>
      </c>
      <c r="G32" s="77">
        <f>SUM(G13:G31)</f>
        <v>39764122.093459919</v>
      </c>
    </row>
    <row r="33" spans="1:10" ht="18.75" thickTop="1">
      <c r="A33" s="355" t="s">
        <v>72</v>
      </c>
      <c r="B33" s="398"/>
      <c r="C33" s="1000"/>
      <c r="D33" s="1000"/>
      <c r="E33" s="1000"/>
      <c r="F33" s="1001"/>
      <c r="G33" s="1002"/>
    </row>
    <row r="34" spans="1:10" ht="18">
      <c r="A34" s="359" t="s">
        <v>79</v>
      </c>
      <c r="B34" s="360" t="s">
        <v>80</v>
      </c>
      <c r="C34" s="55">
        <v>3712481.83</v>
      </c>
      <c r="D34" s="55">
        <v>1037255.3</v>
      </c>
      <c r="E34" s="129">
        <f t="shared" ref="E34:E40" si="5">F34-D34</f>
        <v>1250904.7</v>
      </c>
      <c r="F34" s="135">
        <v>2288160</v>
      </c>
      <c r="G34" s="136">
        <v>2000000</v>
      </c>
    </row>
    <row r="35" spans="1:10" ht="18">
      <c r="A35" s="359" t="s">
        <v>346</v>
      </c>
      <c r="B35" s="360" t="s">
        <v>82</v>
      </c>
      <c r="C35" s="36">
        <v>50000</v>
      </c>
      <c r="D35" s="137">
        <v>99930</v>
      </c>
      <c r="E35" s="36">
        <f t="shared" si="5"/>
        <v>70</v>
      </c>
      <c r="F35" s="138">
        <v>100000</v>
      </c>
      <c r="G35" s="138">
        <v>100000</v>
      </c>
    </row>
    <row r="36" spans="1:10" ht="18">
      <c r="A36" s="359" t="s">
        <v>83</v>
      </c>
      <c r="B36" s="360" t="s">
        <v>84</v>
      </c>
      <c r="C36" s="55">
        <v>60000</v>
      </c>
      <c r="D36" s="56">
        <v>30000</v>
      </c>
      <c r="E36" s="36">
        <f t="shared" si="5"/>
        <v>30000</v>
      </c>
      <c r="F36" s="135">
        <v>60000</v>
      </c>
      <c r="G36" s="135">
        <v>60000</v>
      </c>
    </row>
    <row r="37" spans="1:10" ht="18">
      <c r="A37" s="538" t="s">
        <v>199</v>
      </c>
      <c r="B37" s="360" t="s">
        <v>200</v>
      </c>
      <c r="C37" s="36">
        <v>8592442.4399999995</v>
      </c>
      <c r="D37" s="36">
        <v>6936795</v>
      </c>
      <c r="E37" s="36">
        <f t="shared" si="5"/>
        <v>7556805</v>
      </c>
      <c r="F37" s="139">
        <v>14493600</v>
      </c>
      <c r="G37" s="139">
        <v>17028000</v>
      </c>
    </row>
    <row r="38" spans="1:10" ht="18">
      <c r="A38" s="413" t="s">
        <v>410</v>
      </c>
      <c r="B38" s="339" t="s">
        <v>411</v>
      </c>
      <c r="C38" s="36">
        <v>4766456.8499999996</v>
      </c>
      <c r="D38" s="140">
        <v>15000</v>
      </c>
      <c r="E38" s="36">
        <f t="shared" si="5"/>
        <v>6985000</v>
      </c>
      <c r="F38" s="139">
        <v>7000000</v>
      </c>
      <c r="G38" s="139">
        <v>4000000</v>
      </c>
    </row>
    <row r="39" spans="1:10" ht="36">
      <c r="A39" s="413" t="s">
        <v>423</v>
      </c>
      <c r="B39" s="339" t="s">
        <v>336</v>
      </c>
      <c r="C39" s="36">
        <v>13271325.390000001</v>
      </c>
      <c r="D39" s="140">
        <v>15000</v>
      </c>
      <c r="E39" s="36">
        <f t="shared" si="5"/>
        <v>34353600</v>
      </c>
      <c r="F39" s="139">
        <v>34368600</v>
      </c>
      <c r="G39" s="139">
        <v>14013734</v>
      </c>
    </row>
    <row r="40" spans="1:10" ht="36">
      <c r="A40" s="538" t="s">
        <v>240</v>
      </c>
      <c r="B40" s="360" t="s">
        <v>241</v>
      </c>
      <c r="C40" s="36">
        <v>2875688</v>
      </c>
      <c r="D40" s="72">
        <v>15000</v>
      </c>
      <c r="E40" s="72">
        <f t="shared" si="5"/>
        <v>1985000</v>
      </c>
      <c r="F40" s="139">
        <v>2000000</v>
      </c>
      <c r="G40" s="139">
        <v>2000000</v>
      </c>
    </row>
    <row r="41" spans="1:10" ht="18.75" thickBot="1">
      <c r="A41" s="434"/>
      <c r="B41" s="356"/>
      <c r="C41" s="36"/>
      <c r="D41" s="141"/>
      <c r="E41" s="142"/>
      <c r="F41" s="57"/>
      <c r="G41" s="57"/>
    </row>
    <row r="42" spans="1:10" ht="19.5" thickTop="1" thickBot="1">
      <c r="A42" s="998" t="s">
        <v>162</v>
      </c>
      <c r="B42" s="1003"/>
      <c r="C42" s="75">
        <f>SUM(C34:C41)</f>
        <v>33328394.509999998</v>
      </c>
      <c r="D42" s="75">
        <f t="shared" ref="D42:G42" si="6">SUM(D34:D41)</f>
        <v>8148980.2999999998</v>
      </c>
      <c r="E42" s="75">
        <f t="shared" si="6"/>
        <v>52161379.700000003</v>
      </c>
      <c r="F42" s="75">
        <f t="shared" si="6"/>
        <v>60310360</v>
      </c>
      <c r="G42" s="75">
        <f t="shared" si="6"/>
        <v>39201734</v>
      </c>
      <c r="I42" s="558">
        <f>F42*0.35</f>
        <v>21108626</v>
      </c>
      <c r="J42" s="558">
        <f>F42-I42</f>
        <v>39201734</v>
      </c>
    </row>
    <row r="43" spans="1:10" ht="19.5" thickTop="1" thickBot="1">
      <c r="A43" s="338"/>
      <c r="B43" s="1004"/>
      <c r="C43" s="36"/>
      <c r="D43" s="143"/>
      <c r="E43" s="38"/>
      <c r="F43" s="144"/>
      <c r="G43" s="145"/>
    </row>
    <row r="44" spans="1:10" ht="19.5" thickTop="1" thickBot="1">
      <c r="A44" s="998" t="s">
        <v>181</v>
      </c>
      <c r="B44" s="1003"/>
      <c r="C44" s="75">
        <f>C42+C32</f>
        <v>59004195.099999994</v>
      </c>
      <c r="D44" s="75">
        <f>D42+D32</f>
        <v>21639703.27</v>
      </c>
      <c r="E44" s="75">
        <f>E42+E32</f>
        <v>74439029.650000006</v>
      </c>
      <c r="F44" s="75">
        <f>F42+F32</f>
        <v>96078732.920000002</v>
      </c>
      <c r="G44" s="75">
        <f>G42+G32</f>
        <v>78965856.093459919</v>
      </c>
    </row>
    <row r="45" spans="1:10" ht="18.75" thickTop="1">
      <c r="A45" s="378"/>
      <c r="B45" s="378"/>
      <c r="C45" s="378"/>
      <c r="D45" s="378"/>
      <c r="E45" s="378"/>
      <c r="F45" s="378"/>
      <c r="G45" s="378"/>
    </row>
    <row r="46" spans="1:10" ht="18">
      <c r="A46" s="317"/>
      <c r="B46" s="317"/>
      <c r="C46" s="1005"/>
      <c r="D46" s="317"/>
      <c r="E46" s="317"/>
      <c r="F46" s="317"/>
      <c r="G46" s="317"/>
    </row>
    <row r="47" spans="1:10" ht="18">
      <c r="A47" s="317"/>
      <c r="B47" s="317"/>
      <c r="C47" s="1005"/>
      <c r="D47" s="317"/>
      <c r="E47" s="317"/>
      <c r="F47" s="317"/>
      <c r="G47" s="317"/>
    </row>
    <row r="48" spans="1:10" ht="18">
      <c r="A48" s="317"/>
      <c r="B48" s="317"/>
      <c r="C48" s="1005"/>
      <c r="D48" s="317"/>
      <c r="E48" s="317"/>
      <c r="F48" s="317"/>
      <c r="G48" s="317"/>
    </row>
    <row r="49" spans="1:7" ht="18">
      <c r="A49" s="317"/>
      <c r="B49" s="317"/>
      <c r="C49" s="1005"/>
      <c r="D49" s="317"/>
      <c r="E49" s="317"/>
      <c r="F49" s="317"/>
      <c r="G49" s="317"/>
    </row>
    <row r="50" spans="1:7" ht="18">
      <c r="A50" s="317"/>
      <c r="B50" s="317"/>
      <c r="C50" s="317"/>
      <c r="D50" s="317"/>
      <c r="E50" s="317"/>
      <c r="F50" s="317"/>
      <c r="G50" s="317"/>
    </row>
    <row r="51" spans="1:7" ht="18">
      <c r="A51" s="317"/>
      <c r="B51" s="317"/>
      <c r="C51" s="317"/>
      <c r="D51" s="317"/>
      <c r="E51" s="317"/>
      <c r="F51" s="317"/>
      <c r="G51" s="317"/>
    </row>
    <row r="52" spans="1:7" ht="18">
      <c r="A52" s="309"/>
      <c r="B52" s="1239"/>
      <c r="C52" s="1236"/>
      <c r="D52" s="1236"/>
      <c r="E52" s="369"/>
      <c r="F52" s="1264"/>
      <c r="G52" s="1241"/>
    </row>
    <row r="53" spans="1:7" ht="18">
      <c r="A53" s="371"/>
      <c r="B53" s="1235"/>
      <c r="C53" s="1236"/>
      <c r="D53" s="1236"/>
      <c r="E53" s="372"/>
      <c r="F53" s="1265"/>
      <c r="G53" s="1241"/>
    </row>
    <row r="54" spans="1:7" ht="18">
      <c r="A54" s="317"/>
      <c r="B54" s="317"/>
      <c r="C54" s="317"/>
      <c r="D54" s="317"/>
      <c r="E54" s="317"/>
      <c r="F54" s="317"/>
      <c r="G54" s="317"/>
    </row>
    <row r="55" spans="1:7" ht="18">
      <c r="A55" s="317"/>
      <c r="B55" s="317"/>
      <c r="C55" s="317"/>
      <c r="D55" s="317"/>
      <c r="E55" s="317"/>
      <c r="F55" s="317"/>
      <c r="G55" s="317"/>
    </row>
    <row r="56" spans="1:7" ht="18">
      <c r="A56" s="317"/>
      <c r="B56" s="317"/>
      <c r="C56" s="317"/>
      <c r="D56" s="317"/>
      <c r="E56" s="317"/>
      <c r="F56" s="317"/>
      <c r="G56" s="317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 t="s">
        <v>183</v>
      </c>
      <c r="B58" s="317" t="s">
        <v>184</v>
      </c>
      <c r="C58" s="1005"/>
      <c r="D58" s="317"/>
      <c r="E58" s="317"/>
      <c r="F58" s="317" t="s">
        <v>185</v>
      </c>
      <c r="G58" s="317"/>
    </row>
    <row r="59" spans="1:7" ht="18">
      <c r="A59" s="317"/>
      <c r="B59" s="317"/>
      <c r="C59" s="1005"/>
      <c r="D59" s="317"/>
      <c r="E59" s="317"/>
      <c r="F59" s="317"/>
      <c r="G59" s="317"/>
    </row>
    <row r="60" spans="1:7" ht="18">
      <c r="A60" s="317"/>
      <c r="B60" s="317"/>
      <c r="C60" s="1005"/>
      <c r="D60" s="317"/>
      <c r="E60" s="317"/>
      <c r="F60" s="317"/>
      <c r="G60" s="317"/>
    </row>
    <row r="61" spans="1:7" ht="18">
      <c r="A61" s="317"/>
      <c r="B61" s="317"/>
      <c r="C61" s="1005"/>
      <c r="D61" s="317"/>
      <c r="E61" s="317"/>
      <c r="F61" s="317"/>
      <c r="G61" s="317"/>
    </row>
    <row r="62" spans="1:7" ht="18">
      <c r="A62" s="317"/>
      <c r="B62" s="317"/>
      <c r="C62" s="317"/>
      <c r="D62" s="317"/>
      <c r="E62" s="317"/>
      <c r="F62" s="317"/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8">
      <c r="A64" s="317"/>
      <c r="B64" s="317"/>
      <c r="C64" s="317"/>
      <c r="D64" s="317"/>
      <c r="E64" s="317"/>
      <c r="F64" s="317"/>
      <c r="G64" s="317"/>
    </row>
    <row r="65" spans="1:7" ht="18">
      <c r="A65" s="309" t="s">
        <v>468</v>
      </c>
      <c r="B65" s="1239" t="s">
        <v>187</v>
      </c>
      <c r="C65" s="1236"/>
      <c r="D65" s="1236"/>
      <c r="E65" s="369"/>
      <c r="F65" s="1264" t="s">
        <v>188</v>
      </c>
      <c r="G65" s="1241"/>
    </row>
    <row r="66" spans="1:7" ht="18">
      <c r="A66" s="371" t="s">
        <v>469</v>
      </c>
      <c r="B66" s="1235" t="s">
        <v>190</v>
      </c>
      <c r="C66" s="1236"/>
      <c r="D66" s="1236"/>
      <c r="E66" s="372"/>
      <c r="F66" s="1265" t="s">
        <v>191</v>
      </c>
      <c r="G66" s="1241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17"/>
      <c r="B68" s="317"/>
      <c r="C68" s="317"/>
      <c r="D68" s="317"/>
      <c r="E68" s="317"/>
      <c r="F68" s="317"/>
      <c r="G68" s="317"/>
    </row>
    <row r="69" spans="1:7" ht="16.5">
      <c r="A69" s="1238" t="s">
        <v>194</v>
      </c>
      <c r="B69" s="1238"/>
      <c r="C69" s="1238"/>
      <c r="D69" s="1238"/>
      <c r="E69" s="1238"/>
      <c r="F69" s="1238"/>
      <c r="G69" s="1238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8">
      <c r="A72" s="317"/>
      <c r="B72" s="317"/>
      <c r="C72" s="317"/>
      <c r="D72" s="317"/>
      <c r="E72" s="317"/>
      <c r="F72" s="317"/>
      <c r="G72" s="317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78"/>
      <c r="B128" s="378"/>
      <c r="C128" s="378"/>
      <c r="D128" s="378"/>
      <c r="E128" s="378"/>
      <c r="F128" s="378"/>
      <c r="G128" s="378"/>
    </row>
    <row r="129" spans="1:7" ht="18">
      <c r="A129" s="378"/>
      <c r="B129" s="378"/>
      <c r="C129" s="378"/>
      <c r="D129" s="378"/>
      <c r="E129" s="378"/>
      <c r="F129" s="378"/>
      <c r="G129" s="378"/>
    </row>
    <row r="130" spans="1:7" ht="18">
      <c r="A130" s="378"/>
      <c r="B130" s="378"/>
      <c r="C130" s="378"/>
      <c r="D130" s="378"/>
      <c r="E130" s="378"/>
      <c r="F130" s="378"/>
      <c r="G130" s="378"/>
    </row>
    <row r="131" spans="1:7" ht="18">
      <c r="A131" s="378"/>
      <c r="B131" s="378"/>
      <c r="C131" s="378"/>
      <c r="D131" s="378"/>
      <c r="E131" s="378"/>
      <c r="F131" s="378"/>
      <c r="G131" s="378"/>
    </row>
    <row r="132" spans="1:7" ht="18">
      <c r="A132" s="378"/>
      <c r="B132" s="378"/>
      <c r="C132" s="378"/>
      <c r="D132" s="378"/>
      <c r="E132" s="378"/>
      <c r="F132" s="378"/>
      <c r="G132" s="378"/>
    </row>
    <row r="133" spans="1:7" ht="18">
      <c r="A133" s="378"/>
      <c r="B133" s="378"/>
      <c r="C133" s="378"/>
      <c r="D133" s="378"/>
      <c r="E133" s="378"/>
      <c r="F133" s="378"/>
      <c r="G133" s="378"/>
    </row>
    <row r="134" spans="1:7" ht="18">
      <c r="A134" s="378"/>
      <c r="B134" s="378"/>
      <c r="C134" s="378"/>
      <c r="D134" s="378"/>
      <c r="E134" s="378"/>
      <c r="F134" s="378"/>
      <c r="G134" s="378"/>
    </row>
    <row r="135" spans="1:7" ht="18">
      <c r="A135" s="378"/>
      <c r="B135" s="378"/>
      <c r="C135" s="378"/>
      <c r="D135" s="378"/>
      <c r="E135" s="378"/>
      <c r="F135" s="378"/>
      <c r="G135" s="378"/>
    </row>
    <row r="136" spans="1:7" ht="18">
      <c r="A136" s="378"/>
      <c r="B136" s="378"/>
      <c r="C136" s="378"/>
      <c r="D136" s="378"/>
      <c r="E136" s="378"/>
      <c r="F136" s="378"/>
      <c r="G136" s="378"/>
    </row>
    <row r="137" spans="1:7" ht="18">
      <c r="A137" s="378"/>
      <c r="B137" s="378"/>
      <c r="C137" s="378"/>
      <c r="D137" s="378"/>
      <c r="E137" s="378"/>
      <c r="F137" s="378"/>
      <c r="G137" s="378"/>
    </row>
    <row r="138" spans="1:7" ht="18">
      <c r="A138" s="378"/>
      <c r="B138" s="378"/>
      <c r="C138" s="378"/>
      <c r="D138" s="378"/>
      <c r="E138" s="378"/>
      <c r="F138" s="378"/>
      <c r="G138" s="378"/>
    </row>
    <row r="139" spans="1:7" ht="18">
      <c r="A139" s="378"/>
      <c r="B139" s="378"/>
      <c r="C139" s="378"/>
      <c r="D139" s="378"/>
      <c r="E139" s="378"/>
      <c r="F139" s="378"/>
      <c r="G139" s="378"/>
    </row>
    <row r="140" spans="1:7" ht="18">
      <c r="A140" s="378"/>
      <c r="B140" s="378"/>
      <c r="C140" s="378"/>
      <c r="D140" s="378"/>
      <c r="E140" s="378"/>
      <c r="F140" s="378"/>
      <c r="G140" s="378"/>
    </row>
    <row r="141" spans="1:7" ht="18">
      <c r="A141" s="378"/>
      <c r="B141" s="378"/>
      <c r="C141" s="378"/>
      <c r="D141" s="378"/>
      <c r="E141" s="378"/>
      <c r="F141" s="378"/>
      <c r="G141" s="378"/>
    </row>
    <row r="142" spans="1:7" ht="18">
      <c r="A142" s="378"/>
      <c r="B142" s="378"/>
      <c r="C142" s="378"/>
      <c r="D142" s="378"/>
      <c r="E142" s="378"/>
      <c r="F142" s="378"/>
      <c r="G142" s="378"/>
    </row>
    <row r="143" spans="1:7" ht="18">
      <c r="A143" s="378"/>
      <c r="B143" s="378"/>
      <c r="C143" s="378"/>
      <c r="D143" s="378"/>
      <c r="E143" s="378"/>
      <c r="F143" s="378"/>
      <c r="G143" s="378"/>
    </row>
    <row r="144" spans="1:7" ht="18">
      <c r="A144" s="378"/>
      <c r="B144" s="378"/>
      <c r="C144" s="378"/>
      <c r="D144" s="378"/>
      <c r="E144" s="378"/>
      <c r="F144" s="378"/>
      <c r="G144" s="378"/>
    </row>
    <row r="145" spans="1:7" ht="18">
      <c r="A145" s="378"/>
      <c r="B145" s="378"/>
      <c r="C145" s="378"/>
      <c r="D145" s="378"/>
      <c r="E145" s="378"/>
      <c r="F145" s="378"/>
      <c r="G145" s="378"/>
    </row>
    <row r="146" spans="1:7" ht="18">
      <c r="A146" s="378"/>
      <c r="B146" s="378"/>
      <c r="C146" s="378"/>
      <c r="D146" s="378"/>
      <c r="E146" s="378"/>
      <c r="F146" s="378"/>
      <c r="G146" s="378"/>
    </row>
    <row r="147" spans="1:7" ht="18">
      <c r="A147" s="378"/>
      <c r="B147" s="378"/>
      <c r="C147" s="378"/>
      <c r="D147" s="378"/>
      <c r="E147" s="378"/>
      <c r="F147" s="378"/>
      <c r="G147" s="378"/>
    </row>
    <row r="148" spans="1:7" ht="18">
      <c r="A148" s="378"/>
      <c r="B148" s="378"/>
      <c r="C148" s="378"/>
      <c r="D148" s="378"/>
      <c r="E148" s="378"/>
      <c r="F148" s="378"/>
      <c r="G148" s="378"/>
    </row>
    <row r="149" spans="1:7" ht="18">
      <c r="A149" s="378"/>
      <c r="B149" s="378"/>
      <c r="C149" s="378"/>
      <c r="D149" s="378"/>
      <c r="E149" s="378"/>
      <c r="F149" s="378"/>
      <c r="G149" s="378"/>
    </row>
    <row r="150" spans="1:7" ht="18">
      <c r="A150" s="378"/>
      <c r="B150" s="378"/>
      <c r="C150" s="378"/>
      <c r="D150" s="378"/>
      <c r="E150" s="378"/>
      <c r="F150" s="378"/>
      <c r="G150" s="378"/>
    </row>
    <row r="151" spans="1:7" ht="18">
      <c r="A151" s="378"/>
      <c r="B151" s="378"/>
      <c r="C151" s="378"/>
      <c r="D151" s="378"/>
      <c r="E151" s="378"/>
      <c r="F151" s="378"/>
      <c r="G151" s="378"/>
    </row>
    <row r="152" spans="1:7" ht="18">
      <c r="A152" s="378"/>
      <c r="B152" s="378"/>
      <c r="C152" s="378"/>
      <c r="D152" s="378"/>
      <c r="E152" s="378"/>
      <c r="F152" s="378"/>
      <c r="G152" s="378"/>
    </row>
    <row r="153" spans="1:7" ht="18">
      <c r="A153" s="378"/>
      <c r="B153" s="378"/>
      <c r="C153" s="378"/>
      <c r="D153" s="378"/>
      <c r="E153" s="378"/>
      <c r="F153" s="378"/>
      <c r="G153" s="378"/>
    </row>
    <row r="154" spans="1:7" ht="18">
      <c r="A154" s="378"/>
      <c r="B154" s="378"/>
      <c r="C154" s="378"/>
      <c r="D154" s="378"/>
      <c r="E154" s="378"/>
      <c r="F154" s="378"/>
      <c r="G154" s="378"/>
    </row>
    <row r="155" spans="1:7" ht="18">
      <c r="A155" s="378"/>
      <c r="B155" s="378"/>
      <c r="C155" s="378"/>
      <c r="D155" s="378"/>
      <c r="E155" s="378"/>
      <c r="F155" s="378"/>
      <c r="G155" s="378"/>
    </row>
    <row r="156" spans="1:7" ht="18">
      <c r="A156" s="378"/>
      <c r="B156" s="378"/>
      <c r="C156" s="378"/>
      <c r="D156" s="378"/>
      <c r="E156" s="378"/>
      <c r="F156" s="378"/>
      <c r="G156" s="378"/>
    </row>
    <row r="157" spans="1:7" ht="18">
      <c r="A157" s="378"/>
      <c r="B157" s="378"/>
      <c r="C157" s="378"/>
      <c r="D157" s="378"/>
      <c r="E157" s="378"/>
      <c r="F157" s="378"/>
      <c r="G157" s="378"/>
    </row>
    <row r="158" spans="1:7" ht="18">
      <c r="A158" s="378"/>
      <c r="B158" s="378"/>
      <c r="C158" s="378"/>
      <c r="D158" s="378"/>
      <c r="E158" s="378"/>
      <c r="F158" s="378"/>
      <c r="G158" s="378"/>
    </row>
    <row r="159" spans="1:7" ht="18">
      <c r="A159" s="378"/>
      <c r="B159" s="378"/>
      <c r="C159" s="378"/>
      <c r="D159" s="378"/>
      <c r="E159" s="378"/>
      <c r="F159" s="378"/>
      <c r="G159" s="378"/>
    </row>
    <row r="160" spans="1:7" ht="18">
      <c r="A160" s="378"/>
      <c r="B160" s="378"/>
      <c r="C160" s="378"/>
      <c r="D160" s="378"/>
      <c r="E160" s="378"/>
      <c r="F160" s="378"/>
      <c r="G160" s="378"/>
    </row>
    <row r="161" spans="1:7" ht="18">
      <c r="A161" s="378"/>
      <c r="B161" s="378"/>
      <c r="C161" s="378"/>
      <c r="D161" s="378"/>
      <c r="E161" s="378"/>
      <c r="F161" s="378"/>
      <c r="G161" s="378"/>
    </row>
    <row r="162" spans="1:7" ht="18">
      <c r="A162" s="378"/>
      <c r="B162" s="378"/>
      <c r="C162" s="378"/>
      <c r="D162" s="378"/>
      <c r="E162" s="378"/>
      <c r="F162" s="378"/>
      <c r="G162" s="378"/>
    </row>
    <row r="163" spans="1:7" ht="18">
      <c r="A163" s="378"/>
      <c r="B163" s="378"/>
      <c r="C163" s="378"/>
      <c r="D163" s="378"/>
      <c r="E163" s="378"/>
      <c r="F163" s="378"/>
      <c r="G163" s="378"/>
    </row>
    <row r="164" spans="1:7" ht="18">
      <c r="A164" s="378"/>
      <c r="B164" s="378"/>
      <c r="C164" s="378"/>
      <c r="D164" s="378"/>
      <c r="E164" s="378"/>
      <c r="F164" s="378"/>
      <c r="G164" s="378"/>
    </row>
    <row r="165" spans="1:7" ht="18">
      <c r="A165" s="378"/>
      <c r="B165" s="378"/>
      <c r="C165" s="378"/>
      <c r="D165" s="378"/>
      <c r="E165" s="378"/>
      <c r="F165" s="378"/>
      <c r="G165" s="378"/>
    </row>
    <row r="166" spans="1:7" ht="18">
      <c r="A166" s="378"/>
      <c r="B166" s="378"/>
      <c r="C166" s="378"/>
      <c r="D166" s="378"/>
      <c r="E166" s="378"/>
      <c r="F166" s="378"/>
      <c r="G166" s="378"/>
    </row>
    <row r="167" spans="1:7" ht="18">
      <c r="A167" s="378"/>
      <c r="B167" s="378"/>
      <c r="C167" s="378"/>
      <c r="D167" s="378"/>
      <c r="E167" s="378"/>
      <c r="F167" s="378"/>
      <c r="G167" s="378"/>
    </row>
    <row r="168" spans="1:7" ht="18">
      <c r="A168" s="378"/>
      <c r="B168" s="378"/>
      <c r="C168" s="378"/>
      <c r="D168" s="378"/>
      <c r="E168" s="378"/>
      <c r="F168" s="378"/>
      <c r="G168" s="378"/>
    </row>
    <row r="169" spans="1:7" ht="18">
      <c r="A169" s="378"/>
      <c r="B169" s="378"/>
      <c r="C169" s="378"/>
      <c r="D169" s="378"/>
      <c r="E169" s="378"/>
      <c r="F169" s="378"/>
      <c r="G169" s="378"/>
    </row>
    <row r="170" spans="1:7" ht="18">
      <c r="A170" s="378"/>
      <c r="B170" s="378"/>
      <c r="C170" s="378"/>
      <c r="D170" s="378"/>
      <c r="E170" s="378"/>
      <c r="F170" s="378"/>
      <c r="G170" s="378"/>
    </row>
    <row r="171" spans="1:7" ht="18">
      <c r="A171" s="378"/>
      <c r="B171" s="378"/>
      <c r="C171" s="378"/>
      <c r="D171" s="378"/>
      <c r="E171" s="378"/>
      <c r="F171" s="378"/>
      <c r="G171" s="378"/>
    </row>
    <row r="172" spans="1:7" ht="18">
      <c r="A172" s="378"/>
      <c r="B172" s="378"/>
      <c r="C172" s="378"/>
      <c r="D172" s="378"/>
      <c r="E172" s="378"/>
      <c r="F172" s="378"/>
      <c r="G172" s="378"/>
    </row>
    <row r="173" spans="1:7" ht="18">
      <c r="A173" s="378"/>
      <c r="B173" s="378"/>
      <c r="C173" s="378"/>
      <c r="D173" s="378"/>
      <c r="E173" s="378"/>
      <c r="F173" s="378"/>
      <c r="G173" s="378"/>
    </row>
    <row r="174" spans="1:7" ht="18">
      <c r="A174" s="378"/>
      <c r="B174" s="378"/>
      <c r="C174" s="378"/>
      <c r="D174" s="378"/>
      <c r="E174" s="378"/>
      <c r="F174" s="378"/>
      <c r="G174" s="378"/>
    </row>
    <row r="175" spans="1:7" ht="18">
      <c r="A175" s="378"/>
      <c r="B175" s="378"/>
      <c r="C175" s="378"/>
      <c r="D175" s="378"/>
      <c r="E175" s="378"/>
      <c r="F175" s="378"/>
      <c r="G175" s="378"/>
    </row>
    <row r="176" spans="1:7" ht="18">
      <c r="A176" s="378"/>
      <c r="B176" s="378"/>
      <c r="C176" s="378"/>
      <c r="D176" s="378"/>
      <c r="E176" s="378"/>
      <c r="F176" s="378"/>
      <c r="G176" s="378"/>
    </row>
    <row r="177" spans="1:7" ht="18">
      <c r="A177" s="378"/>
      <c r="B177" s="378"/>
      <c r="C177" s="378"/>
      <c r="D177" s="378"/>
      <c r="E177" s="378"/>
      <c r="F177" s="378"/>
      <c r="G177" s="378"/>
    </row>
    <row r="178" spans="1:7" ht="18">
      <c r="A178" s="378"/>
      <c r="B178" s="378"/>
      <c r="C178" s="378"/>
      <c r="D178" s="378"/>
      <c r="E178" s="378"/>
      <c r="F178" s="378"/>
      <c r="G178" s="378"/>
    </row>
    <row r="179" spans="1:7" ht="18">
      <c r="A179" s="378"/>
      <c r="B179" s="378"/>
      <c r="C179" s="378"/>
      <c r="D179" s="378"/>
      <c r="E179" s="378"/>
      <c r="F179" s="378"/>
      <c r="G179" s="378"/>
    </row>
    <row r="180" spans="1:7" ht="18">
      <c r="A180" s="378"/>
      <c r="B180" s="378"/>
      <c r="C180" s="378"/>
      <c r="D180" s="378"/>
      <c r="E180" s="378"/>
      <c r="F180" s="378"/>
      <c r="G180" s="378"/>
    </row>
    <row r="181" spans="1:7" ht="18">
      <c r="A181" s="378"/>
      <c r="B181" s="378"/>
      <c r="C181" s="378"/>
      <c r="D181" s="378"/>
      <c r="E181" s="378"/>
      <c r="F181" s="378"/>
      <c r="G181" s="378"/>
    </row>
    <row r="182" spans="1:7" ht="18">
      <c r="A182" s="378"/>
      <c r="B182" s="378"/>
      <c r="C182" s="378"/>
      <c r="D182" s="378"/>
      <c r="E182" s="378"/>
      <c r="F182" s="378"/>
      <c r="G182" s="378"/>
    </row>
    <row r="183" spans="1:7" ht="18">
      <c r="A183" s="378"/>
      <c r="B183" s="378"/>
      <c r="C183" s="378"/>
      <c r="D183" s="378"/>
      <c r="E183" s="378"/>
      <c r="F183" s="378"/>
      <c r="G183" s="378"/>
    </row>
    <row r="184" spans="1:7" ht="18">
      <c r="A184" s="378"/>
      <c r="B184" s="378"/>
      <c r="C184" s="378"/>
      <c r="D184" s="378"/>
      <c r="E184" s="378"/>
      <c r="F184" s="378"/>
      <c r="G184" s="378"/>
    </row>
    <row r="185" spans="1:7" ht="18">
      <c r="A185" s="378"/>
      <c r="B185" s="378"/>
      <c r="C185" s="378"/>
      <c r="D185" s="378"/>
      <c r="E185" s="378"/>
      <c r="F185" s="378"/>
      <c r="G185" s="378"/>
    </row>
    <row r="186" spans="1:7" ht="18">
      <c r="A186" s="378"/>
      <c r="B186" s="378"/>
      <c r="C186" s="378"/>
      <c r="D186" s="378"/>
      <c r="E186" s="378"/>
      <c r="F186" s="378"/>
      <c r="G186" s="378"/>
    </row>
    <row r="187" spans="1:7" ht="18">
      <c r="A187" s="378"/>
      <c r="B187" s="378"/>
      <c r="C187" s="378"/>
      <c r="D187" s="378"/>
      <c r="E187" s="378"/>
      <c r="F187" s="378"/>
      <c r="G187" s="378"/>
    </row>
    <row r="188" spans="1:7" ht="18">
      <c r="A188" s="378"/>
      <c r="B188" s="378"/>
      <c r="C188" s="378"/>
      <c r="D188" s="378"/>
      <c r="E188" s="378"/>
      <c r="F188" s="378"/>
      <c r="G188" s="378"/>
    </row>
    <row r="189" spans="1:7" ht="18">
      <c r="A189" s="378"/>
      <c r="B189" s="378"/>
      <c r="C189" s="378"/>
      <c r="D189" s="378"/>
      <c r="E189" s="378"/>
      <c r="F189" s="378"/>
      <c r="G189" s="378"/>
    </row>
    <row r="190" spans="1:7" ht="18">
      <c r="A190" s="378"/>
      <c r="B190" s="378"/>
      <c r="C190" s="378"/>
      <c r="D190" s="378"/>
      <c r="E190" s="378"/>
      <c r="F190" s="378"/>
      <c r="G190" s="378"/>
    </row>
    <row r="191" spans="1:7" ht="18">
      <c r="A191" s="378"/>
      <c r="B191" s="378"/>
      <c r="C191" s="378"/>
      <c r="D191" s="378"/>
      <c r="E191" s="378"/>
      <c r="F191" s="378"/>
      <c r="G191" s="378"/>
    </row>
    <row r="192" spans="1:7" ht="18">
      <c r="A192" s="378"/>
      <c r="B192" s="378"/>
      <c r="C192" s="378"/>
      <c r="D192" s="378"/>
      <c r="E192" s="378"/>
      <c r="F192" s="378"/>
      <c r="G192" s="378"/>
    </row>
    <row r="193" spans="1:7" ht="18">
      <c r="A193" s="378"/>
      <c r="B193" s="378"/>
      <c r="C193" s="378"/>
      <c r="D193" s="378"/>
      <c r="E193" s="378"/>
      <c r="F193" s="378"/>
      <c r="G193" s="378"/>
    </row>
    <row r="194" spans="1:7" ht="18">
      <c r="A194" s="378"/>
      <c r="B194" s="378"/>
      <c r="C194" s="378"/>
      <c r="D194" s="378"/>
      <c r="E194" s="378"/>
      <c r="F194" s="378"/>
      <c r="G194" s="378"/>
    </row>
    <row r="195" spans="1:7" ht="18">
      <c r="A195" s="378"/>
      <c r="B195" s="378"/>
      <c r="C195" s="378"/>
      <c r="D195" s="378"/>
      <c r="E195" s="378"/>
      <c r="F195" s="378"/>
      <c r="G195" s="378"/>
    </row>
    <row r="196" spans="1:7" ht="18">
      <c r="A196" s="378"/>
      <c r="B196" s="378"/>
      <c r="C196" s="378"/>
      <c r="D196" s="378"/>
      <c r="E196" s="378"/>
      <c r="F196" s="378"/>
      <c r="G196" s="378"/>
    </row>
    <row r="197" spans="1:7" ht="18">
      <c r="A197" s="378"/>
      <c r="B197" s="378"/>
      <c r="C197" s="378"/>
      <c r="D197" s="378"/>
      <c r="E197" s="378"/>
      <c r="F197" s="378"/>
      <c r="G197" s="378"/>
    </row>
    <row r="198" spans="1:7" ht="18">
      <c r="A198" s="378"/>
      <c r="B198" s="378"/>
      <c r="C198" s="378"/>
      <c r="D198" s="378"/>
      <c r="E198" s="378"/>
      <c r="F198" s="378"/>
      <c r="G198" s="378"/>
    </row>
    <row r="199" spans="1:7" ht="18">
      <c r="A199" s="378"/>
      <c r="B199" s="378"/>
      <c r="C199" s="378"/>
      <c r="D199" s="378"/>
      <c r="E199" s="378"/>
      <c r="F199" s="378"/>
      <c r="G199" s="378"/>
    </row>
    <row r="200" spans="1:7" ht="18">
      <c r="A200" s="378"/>
      <c r="B200" s="378"/>
      <c r="C200" s="378"/>
      <c r="D200" s="378"/>
      <c r="E200" s="378"/>
      <c r="F200" s="378"/>
      <c r="G200" s="378"/>
    </row>
    <row r="201" spans="1:7" ht="18">
      <c r="A201" s="378"/>
      <c r="B201" s="378"/>
      <c r="C201" s="378"/>
      <c r="D201" s="378"/>
      <c r="E201" s="378"/>
      <c r="F201" s="378"/>
      <c r="G201" s="378"/>
    </row>
    <row r="202" spans="1:7" ht="18">
      <c r="A202" s="378"/>
      <c r="B202" s="378"/>
      <c r="C202" s="378"/>
      <c r="D202" s="378"/>
      <c r="E202" s="378"/>
      <c r="F202" s="378"/>
      <c r="G202" s="378"/>
    </row>
    <row r="203" spans="1:7" ht="18">
      <c r="A203" s="378"/>
      <c r="B203" s="378"/>
      <c r="C203" s="378"/>
      <c r="D203" s="378"/>
      <c r="E203" s="378"/>
      <c r="F203" s="378"/>
      <c r="G203" s="378"/>
    </row>
    <row r="204" spans="1:7" ht="18">
      <c r="A204" s="378"/>
      <c r="B204" s="378"/>
      <c r="C204" s="378"/>
      <c r="D204" s="378"/>
      <c r="E204" s="378"/>
      <c r="F204" s="378"/>
      <c r="G204" s="378"/>
    </row>
    <row r="205" spans="1:7" ht="18">
      <c r="A205" s="378"/>
      <c r="B205" s="378"/>
      <c r="C205" s="378"/>
      <c r="D205" s="378"/>
      <c r="E205" s="378"/>
      <c r="F205" s="378"/>
      <c r="G205" s="378"/>
    </row>
    <row r="206" spans="1:7" ht="18">
      <c r="A206" s="378"/>
      <c r="B206" s="378"/>
      <c r="C206" s="378"/>
      <c r="D206" s="378"/>
      <c r="E206" s="378"/>
      <c r="F206" s="378"/>
      <c r="G206" s="378"/>
    </row>
    <row r="207" spans="1:7" ht="18">
      <c r="A207" s="378"/>
      <c r="B207" s="378"/>
      <c r="C207" s="378"/>
      <c r="D207" s="378"/>
      <c r="E207" s="378"/>
      <c r="F207" s="378"/>
      <c r="G207" s="378"/>
    </row>
    <row r="208" spans="1:7" ht="18">
      <c r="A208" s="378"/>
      <c r="B208" s="378"/>
      <c r="C208" s="378"/>
      <c r="D208" s="378"/>
      <c r="E208" s="378"/>
      <c r="F208" s="378"/>
      <c r="G208" s="378"/>
    </row>
    <row r="209" spans="1:7" ht="18">
      <c r="A209" s="378"/>
      <c r="B209" s="378"/>
      <c r="C209" s="378"/>
      <c r="D209" s="378"/>
      <c r="E209" s="378"/>
      <c r="F209" s="378"/>
      <c r="G209" s="378"/>
    </row>
    <row r="210" spans="1:7" ht="18">
      <c r="A210" s="378"/>
      <c r="B210" s="378"/>
      <c r="C210" s="378"/>
      <c r="D210" s="378"/>
      <c r="E210" s="378"/>
      <c r="F210" s="378"/>
      <c r="G210" s="378"/>
    </row>
    <row r="211" spans="1:7" ht="18">
      <c r="A211" s="378"/>
      <c r="B211" s="378"/>
      <c r="C211" s="378"/>
      <c r="D211" s="378"/>
      <c r="E211" s="378"/>
      <c r="F211" s="378"/>
      <c r="G211" s="378"/>
    </row>
    <row r="212" spans="1:7" ht="18">
      <c r="A212" s="378"/>
      <c r="B212" s="378"/>
      <c r="C212" s="378"/>
      <c r="D212" s="378"/>
      <c r="E212" s="378"/>
      <c r="F212" s="378"/>
      <c r="G212" s="378"/>
    </row>
    <row r="213" spans="1:7" ht="18">
      <c r="A213" s="378"/>
      <c r="B213" s="378"/>
      <c r="C213" s="378"/>
      <c r="D213" s="378"/>
      <c r="E213" s="378"/>
      <c r="F213" s="378"/>
      <c r="G213" s="378"/>
    </row>
    <row r="214" spans="1:7" ht="18">
      <c r="A214" s="378"/>
      <c r="B214" s="378"/>
      <c r="C214" s="378"/>
      <c r="D214" s="378"/>
      <c r="E214" s="378"/>
      <c r="F214" s="378"/>
      <c r="G214" s="378"/>
    </row>
    <row r="215" spans="1:7" ht="18">
      <c r="A215" s="378"/>
      <c r="B215" s="378"/>
      <c r="C215" s="378"/>
      <c r="D215" s="378"/>
      <c r="E215" s="378"/>
      <c r="F215" s="378"/>
      <c r="G215" s="378"/>
    </row>
    <row r="216" spans="1:7" ht="18">
      <c r="A216" s="378"/>
      <c r="B216" s="378"/>
      <c r="C216" s="378"/>
      <c r="D216" s="378"/>
      <c r="E216" s="378"/>
      <c r="F216" s="378"/>
      <c r="G216" s="378"/>
    </row>
    <row r="217" spans="1:7" ht="18">
      <c r="A217" s="378"/>
      <c r="B217" s="378"/>
      <c r="C217" s="378"/>
      <c r="D217" s="378"/>
      <c r="E217" s="378"/>
      <c r="F217" s="378"/>
      <c r="G217" s="378"/>
    </row>
    <row r="218" spans="1:7" ht="18">
      <c r="A218" s="378"/>
      <c r="B218" s="378"/>
      <c r="C218" s="378"/>
      <c r="D218" s="378"/>
      <c r="E218" s="378"/>
      <c r="F218" s="378"/>
      <c r="G218" s="378"/>
    </row>
    <row r="219" spans="1:7" ht="18">
      <c r="A219" s="378"/>
      <c r="B219" s="378"/>
      <c r="C219" s="378"/>
      <c r="D219" s="378"/>
      <c r="E219" s="378"/>
      <c r="F219" s="378"/>
      <c r="G219" s="378"/>
    </row>
    <row r="220" spans="1:7" ht="18">
      <c r="A220" s="378"/>
      <c r="B220" s="378"/>
      <c r="C220" s="378"/>
      <c r="D220" s="378"/>
      <c r="E220" s="378"/>
      <c r="F220" s="378"/>
      <c r="G220" s="378"/>
    </row>
    <row r="221" spans="1:7" ht="18">
      <c r="A221" s="378"/>
      <c r="B221" s="378"/>
      <c r="C221" s="378"/>
      <c r="D221" s="378"/>
      <c r="E221" s="378"/>
      <c r="F221" s="378"/>
      <c r="G221" s="378"/>
    </row>
    <row r="222" spans="1:7" ht="18">
      <c r="A222" s="378"/>
      <c r="B222" s="378"/>
      <c r="C222" s="378"/>
      <c r="D222" s="378"/>
      <c r="E222" s="378"/>
      <c r="F222" s="378"/>
      <c r="G222" s="378"/>
    </row>
    <row r="223" spans="1:7" ht="18">
      <c r="A223" s="378"/>
      <c r="B223" s="378"/>
      <c r="C223" s="378"/>
      <c r="D223" s="378"/>
      <c r="E223" s="378"/>
      <c r="F223" s="378"/>
      <c r="G223" s="378"/>
    </row>
    <row r="224" spans="1:7" ht="18">
      <c r="A224" s="378"/>
      <c r="B224" s="378"/>
      <c r="C224" s="378"/>
      <c r="D224" s="378"/>
      <c r="E224" s="378"/>
      <c r="F224" s="378"/>
      <c r="G224" s="378"/>
    </row>
    <row r="225" spans="1:7" ht="18">
      <c r="A225" s="378"/>
      <c r="B225" s="378"/>
      <c r="C225" s="378"/>
      <c r="D225" s="378"/>
      <c r="E225" s="378"/>
      <c r="F225" s="378"/>
      <c r="G225" s="378"/>
    </row>
    <row r="226" spans="1:7" ht="18">
      <c r="A226" s="378"/>
      <c r="B226" s="378"/>
      <c r="C226" s="378"/>
      <c r="D226" s="378"/>
      <c r="E226" s="378"/>
      <c r="F226" s="378"/>
      <c r="G226" s="378"/>
    </row>
    <row r="227" spans="1:7" ht="18">
      <c r="A227" s="378"/>
      <c r="B227" s="378"/>
      <c r="C227" s="378"/>
      <c r="D227" s="378"/>
      <c r="E227" s="378"/>
      <c r="F227" s="378"/>
      <c r="G227" s="378"/>
    </row>
    <row r="228" spans="1:7" ht="18">
      <c r="A228" s="378"/>
      <c r="B228" s="378"/>
      <c r="C228" s="378"/>
      <c r="D228" s="378"/>
      <c r="E228" s="378"/>
      <c r="F228" s="378"/>
      <c r="G228" s="378"/>
    </row>
    <row r="229" spans="1:7" ht="18">
      <c r="A229" s="378"/>
      <c r="B229" s="378"/>
      <c r="C229" s="378"/>
      <c r="D229" s="378"/>
      <c r="E229" s="378"/>
      <c r="F229" s="378"/>
      <c r="G229" s="378"/>
    </row>
    <row r="230" spans="1:7" ht="18">
      <c r="A230" s="378"/>
      <c r="B230" s="378"/>
      <c r="C230" s="378"/>
      <c r="D230" s="378"/>
      <c r="E230" s="378"/>
      <c r="F230" s="378"/>
      <c r="G230" s="378"/>
    </row>
    <row r="231" spans="1:7" ht="18">
      <c r="A231" s="378"/>
      <c r="B231" s="378"/>
      <c r="C231" s="378"/>
      <c r="D231" s="378"/>
      <c r="E231" s="378"/>
      <c r="F231" s="378"/>
      <c r="G231" s="378"/>
    </row>
    <row r="232" spans="1:7" ht="18">
      <c r="A232" s="378"/>
      <c r="B232" s="378"/>
      <c r="C232" s="378"/>
      <c r="D232" s="378"/>
      <c r="E232" s="378"/>
      <c r="F232" s="378"/>
      <c r="G232" s="378"/>
    </row>
    <row r="233" spans="1:7" ht="18">
      <c r="A233" s="378"/>
      <c r="B233" s="378"/>
      <c r="C233" s="378"/>
      <c r="D233" s="378"/>
      <c r="E233" s="378"/>
      <c r="F233" s="378"/>
      <c r="G233" s="378"/>
    </row>
    <row r="234" spans="1:7" ht="18">
      <c r="A234" s="378"/>
      <c r="B234" s="378"/>
      <c r="C234" s="378"/>
      <c r="D234" s="378"/>
      <c r="E234" s="378"/>
      <c r="F234" s="378"/>
      <c r="G234" s="378"/>
    </row>
    <row r="235" spans="1:7" ht="18">
      <c r="A235" s="378"/>
      <c r="B235" s="378"/>
      <c r="C235" s="378"/>
      <c r="D235" s="378"/>
      <c r="E235" s="378"/>
      <c r="F235" s="378"/>
      <c r="G235" s="378"/>
    </row>
    <row r="236" spans="1:7" ht="18">
      <c r="A236" s="378"/>
      <c r="B236" s="378"/>
      <c r="C236" s="378"/>
      <c r="D236" s="378"/>
      <c r="E236" s="378"/>
      <c r="F236" s="378"/>
      <c r="G236" s="378"/>
    </row>
    <row r="237" spans="1:7" ht="18">
      <c r="A237" s="378"/>
      <c r="B237" s="378"/>
      <c r="C237" s="378"/>
      <c r="D237" s="378"/>
      <c r="E237" s="378"/>
      <c r="F237" s="378"/>
      <c r="G237" s="378"/>
    </row>
    <row r="238" spans="1:7" ht="18">
      <c r="A238" s="378"/>
      <c r="B238" s="378"/>
      <c r="C238" s="378"/>
      <c r="D238" s="378"/>
      <c r="E238" s="378"/>
      <c r="F238" s="378"/>
      <c r="G238" s="378"/>
    </row>
    <row r="239" spans="1:7" ht="18">
      <c r="A239" s="378"/>
      <c r="B239" s="378"/>
      <c r="C239" s="378"/>
      <c r="D239" s="378"/>
      <c r="E239" s="378"/>
      <c r="F239" s="378"/>
      <c r="G239" s="378"/>
    </row>
    <row r="240" spans="1:7" ht="18">
      <c r="A240" s="378"/>
      <c r="B240" s="378"/>
      <c r="C240" s="378"/>
      <c r="D240" s="378"/>
      <c r="E240" s="378"/>
      <c r="F240" s="378"/>
      <c r="G240" s="378"/>
    </row>
    <row r="241" spans="1:7" ht="18">
      <c r="A241" s="378"/>
      <c r="B241" s="378"/>
      <c r="C241" s="378"/>
      <c r="D241" s="378"/>
      <c r="E241" s="378"/>
      <c r="F241" s="378"/>
      <c r="G241" s="378"/>
    </row>
    <row r="242" spans="1:7" ht="18">
      <c r="A242" s="378"/>
      <c r="B242" s="378"/>
      <c r="C242" s="378"/>
      <c r="D242" s="378"/>
      <c r="E242" s="378"/>
      <c r="F242" s="378"/>
      <c r="G242" s="378"/>
    </row>
    <row r="243" spans="1:7" ht="18">
      <c r="A243" s="378"/>
      <c r="B243" s="378"/>
      <c r="C243" s="378"/>
      <c r="D243" s="378"/>
      <c r="E243" s="378"/>
      <c r="F243" s="378"/>
      <c r="G243" s="378"/>
    </row>
    <row r="244" spans="1:7" ht="18">
      <c r="A244" s="378"/>
      <c r="B244" s="378"/>
      <c r="C244" s="378"/>
      <c r="D244" s="378"/>
      <c r="E244" s="378"/>
      <c r="F244" s="378"/>
      <c r="G244" s="378"/>
    </row>
    <row r="245" spans="1:7" ht="18">
      <c r="A245" s="378"/>
      <c r="B245" s="378"/>
      <c r="C245" s="378"/>
      <c r="D245" s="378"/>
      <c r="E245" s="378"/>
      <c r="F245" s="378"/>
      <c r="G245" s="378"/>
    </row>
    <row r="246" spans="1:7" ht="18">
      <c r="A246" s="378"/>
      <c r="B246" s="378"/>
      <c r="C246" s="378"/>
      <c r="D246" s="378"/>
      <c r="E246" s="378"/>
      <c r="F246" s="378"/>
      <c r="G246" s="378"/>
    </row>
    <row r="247" spans="1:7" ht="18">
      <c r="A247" s="378"/>
      <c r="B247" s="378"/>
      <c r="C247" s="378"/>
      <c r="D247" s="378"/>
      <c r="E247" s="378"/>
      <c r="F247" s="378"/>
      <c r="G247" s="378"/>
    </row>
    <row r="248" spans="1:7">
      <c r="A248" s="377"/>
      <c r="B248" s="377"/>
      <c r="C248" s="377"/>
      <c r="D248" s="377"/>
      <c r="E248" s="377"/>
      <c r="F248" s="377"/>
      <c r="G248" s="377"/>
    </row>
    <row r="249" spans="1:7">
      <c r="A249" s="377"/>
      <c r="B249" s="377"/>
      <c r="C249" s="377"/>
      <c r="D249" s="377"/>
      <c r="E249" s="377"/>
      <c r="F249" s="377"/>
      <c r="G249" s="377"/>
    </row>
    <row r="250" spans="1:7">
      <c r="A250" s="377"/>
      <c r="B250" s="377"/>
      <c r="C250" s="377"/>
      <c r="D250" s="377"/>
      <c r="E250" s="377"/>
      <c r="F250" s="377"/>
      <c r="G250" s="377"/>
    </row>
    <row r="251" spans="1:7">
      <c r="A251" s="377"/>
      <c r="B251" s="377"/>
      <c r="C251" s="377"/>
      <c r="D251" s="377"/>
      <c r="E251" s="377"/>
      <c r="F251" s="377"/>
      <c r="G251" s="377"/>
    </row>
    <row r="252" spans="1:7">
      <c r="A252" s="377"/>
      <c r="B252" s="377"/>
      <c r="C252" s="377"/>
      <c r="D252" s="377"/>
      <c r="E252" s="377"/>
      <c r="F252" s="377"/>
      <c r="G252" s="37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</sheetData>
  <sheetProtection algorithmName="SHA-512" hashValue="O2qa+/dEUgvnYxyaOA/h6gGVD5eBUKXfg1Gna2assqL2JBYfQTRTlA5MPis8WSrgmP81u4Qjy9Zndt3r/aHKAQ==" saltValue="APGW0lY3YEqyPEx+keQCeg==" spinCount="100000" sheet="1" objects="1" scenarios="1"/>
  <mergeCells count="17">
    <mergeCell ref="B66:D66"/>
    <mergeCell ref="F66:G66"/>
    <mergeCell ref="A69:G69"/>
    <mergeCell ref="B52:D52"/>
    <mergeCell ref="F52:G52"/>
    <mergeCell ref="B53:D53"/>
    <mergeCell ref="F53:G53"/>
    <mergeCell ref="B65:D65"/>
    <mergeCell ref="F65:G65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E91F2-EE65-4829-AA2F-79B11F0851A7}">
  <dimension ref="A1:M1001"/>
  <sheetViews>
    <sheetView topLeftCell="A52" workbookViewId="0">
      <selection activeCell="A98" sqref="A98:G98"/>
    </sheetView>
  </sheetViews>
  <sheetFormatPr defaultColWidth="8.85546875" defaultRowHeight="15"/>
  <cols>
    <col min="1" max="1" width="53.28515625" style="314" customWidth="1"/>
    <col min="2" max="2" width="13.5703125" style="314" customWidth="1"/>
    <col min="3" max="6" width="16.5703125" style="314" customWidth="1"/>
    <col min="7" max="7" width="17.5703125" style="314" customWidth="1"/>
    <col min="8" max="9" width="8.85546875" style="314"/>
    <col min="10" max="11" width="14" style="314" bestFit="1" customWidth="1"/>
    <col min="12" max="12" width="12.85546875" style="314" bestFit="1" customWidth="1"/>
    <col min="13" max="13" width="14" style="314" bestFit="1" customWidth="1"/>
    <col min="14" max="16384" width="8.85546875" style="314"/>
  </cols>
  <sheetData>
    <row r="1" spans="1:10" ht="18">
      <c r="A1" s="311" t="s">
        <v>13</v>
      </c>
      <c r="B1" s="312"/>
      <c r="C1" s="313"/>
      <c r="D1" s="313"/>
      <c r="E1" s="313"/>
      <c r="F1" s="312"/>
      <c r="G1" s="312"/>
    </row>
    <row r="2" spans="1:10" ht="21">
      <c r="A2" s="1225" t="s">
        <v>0</v>
      </c>
      <c r="B2" s="1241"/>
      <c r="C2" s="1241"/>
      <c r="D2" s="1241"/>
      <c r="E2" s="1241"/>
      <c r="F2" s="1241"/>
      <c r="G2" s="1241"/>
    </row>
    <row r="3" spans="1:10" ht="18">
      <c r="A3" s="1227" t="s">
        <v>14</v>
      </c>
      <c r="B3" s="1241"/>
      <c r="C3" s="1241"/>
      <c r="D3" s="1241"/>
      <c r="E3" s="1241"/>
      <c r="F3" s="1241"/>
      <c r="G3" s="1241"/>
    </row>
    <row r="4" spans="1:10" ht="18">
      <c r="A4" s="315"/>
      <c r="B4" s="315"/>
      <c r="C4" s="316"/>
      <c r="D4" s="316"/>
      <c r="E4" s="316"/>
      <c r="F4" s="315"/>
      <c r="G4" s="315"/>
    </row>
    <row r="5" spans="1:10" ht="18.75" thickBot="1">
      <c r="A5" s="317" t="s">
        <v>470</v>
      </c>
      <c r="B5" s="317"/>
      <c r="C5" s="577"/>
      <c r="D5" s="577"/>
      <c r="E5" s="1006"/>
      <c r="F5" s="317"/>
      <c r="G5" s="317"/>
    </row>
    <row r="6" spans="1:10" ht="16.5" thickTop="1" thickBot="1">
      <c r="A6" s="1228" t="s">
        <v>16</v>
      </c>
      <c r="B6" s="1228" t="s">
        <v>17</v>
      </c>
      <c r="C6" s="1230" t="s">
        <v>588</v>
      </c>
      <c r="D6" s="1231" t="s">
        <v>603</v>
      </c>
      <c r="E6" s="1242"/>
      <c r="F6" s="1243"/>
      <c r="G6" s="1228" t="s">
        <v>556</v>
      </c>
    </row>
    <row r="7" spans="1:10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10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10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10" ht="18.75" thickTop="1">
      <c r="A10" s="324" t="s">
        <v>33</v>
      </c>
      <c r="B10" s="325"/>
      <c r="C10" s="1007"/>
      <c r="D10" s="1007"/>
      <c r="E10" s="1007"/>
      <c r="F10" s="326"/>
      <c r="G10" s="327"/>
    </row>
    <row r="11" spans="1:10" ht="18">
      <c r="A11" s="328" t="s">
        <v>34</v>
      </c>
      <c r="B11" s="329"/>
      <c r="C11" s="1008"/>
      <c r="D11" s="1008"/>
      <c r="E11" s="1008"/>
      <c r="F11" s="330"/>
      <c r="G11" s="332"/>
    </row>
    <row r="12" spans="1:10" ht="18">
      <c r="A12" s="333" t="s">
        <v>35</v>
      </c>
      <c r="B12" s="334"/>
      <c r="C12" s="1008"/>
      <c r="D12" s="1008"/>
      <c r="E12" s="1008"/>
      <c r="F12" s="335"/>
      <c r="G12" s="337"/>
    </row>
    <row r="13" spans="1:10" ht="18">
      <c r="A13" s="338" t="s">
        <v>36</v>
      </c>
      <c r="B13" s="1009" t="s">
        <v>37</v>
      </c>
      <c r="C13" s="36">
        <v>10638831.359999999</v>
      </c>
      <c r="D13" s="85">
        <v>5213728</v>
      </c>
      <c r="E13" s="36">
        <f t="shared" ref="E13:E14" si="0">F13-D13</f>
        <v>8769272</v>
      </c>
      <c r="F13" s="37">
        <v>13983000</v>
      </c>
      <c r="G13" s="37">
        <v>14854142</v>
      </c>
      <c r="J13" s="558"/>
    </row>
    <row r="14" spans="1:10" ht="18">
      <c r="A14" s="338" t="s">
        <v>216</v>
      </c>
      <c r="B14" s="1009" t="s">
        <v>39</v>
      </c>
      <c r="C14" s="36">
        <v>1636227.1</v>
      </c>
      <c r="D14" s="85">
        <v>762863.5</v>
      </c>
      <c r="E14" s="36">
        <f t="shared" si="0"/>
        <v>953136.5</v>
      </c>
      <c r="F14" s="37">
        <v>1716000</v>
      </c>
      <c r="G14" s="37">
        <v>1815165</v>
      </c>
    </row>
    <row r="15" spans="1:10" ht="18">
      <c r="A15" s="333" t="s">
        <v>40</v>
      </c>
      <c r="B15" s="873"/>
      <c r="C15" s="36"/>
      <c r="D15" s="85"/>
      <c r="E15" s="85"/>
      <c r="F15" s="37"/>
      <c r="G15" s="37"/>
    </row>
    <row r="16" spans="1:10" ht="18">
      <c r="A16" s="338" t="s">
        <v>41</v>
      </c>
      <c r="B16" s="1009" t="s">
        <v>42</v>
      </c>
      <c r="C16" s="36">
        <v>1059727.29</v>
      </c>
      <c r="D16" s="85">
        <v>509363.65</v>
      </c>
      <c r="E16" s="36">
        <f t="shared" ref="E16:E20" si="1">F16-D16</f>
        <v>786636.35</v>
      </c>
      <c r="F16" s="37">
        <v>1296000</v>
      </c>
      <c r="G16" s="37">
        <v>1296000</v>
      </c>
    </row>
    <row r="17" spans="1:7" ht="18">
      <c r="A17" s="338" t="s">
        <v>43</v>
      </c>
      <c r="B17" s="1009" t="s">
        <v>44</v>
      </c>
      <c r="C17" s="36">
        <v>184177.7</v>
      </c>
      <c r="D17" s="85">
        <v>77546.75</v>
      </c>
      <c r="E17" s="36">
        <f t="shared" si="1"/>
        <v>114453.25</v>
      </c>
      <c r="F17" s="37">
        <v>192000</v>
      </c>
      <c r="G17" s="37">
        <v>216000</v>
      </c>
    </row>
    <row r="18" spans="1:7" ht="18">
      <c r="A18" s="338" t="s">
        <v>45</v>
      </c>
      <c r="B18" s="1009" t="s">
        <v>46</v>
      </c>
      <c r="C18" s="36">
        <v>186707.42</v>
      </c>
      <c r="D18" s="85">
        <v>78625</v>
      </c>
      <c r="E18" s="36">
        <f t="shared" si="1"/>
        <v>113375</v>
      </c>
      <c r="F18" s="37">
        <v>192000</v>
      </c>
      <c r="G18" s="37">
        <v>216000</v>
      </c>
    </row>
    <row r="19" spans="1:7" ht="18">
      <c r="A19" s="338" t="s">
        <v>47</v>
      </c>
      <c r="B19" s="1009" t="s">
        <v>48</v>
      </c>
      <c r="C19" s="36">
        <v>252000</v>
      </c>
      <c r="D19" s="219">
        <v>252000</v>
      </c>
      <c r="E19" s="36">
        <f t="shared" si="1"/>
        <v>72000</v>
      </c>
      <c r="F19" s="37">
        <v>324000</v>
      </c>
      <c r="G19" s="37">
        <v>378000</v>
      </c>
    </row>
    <row r="20" spans="1:7" ht="18">
      <c r="A20" s="359" t="s">
        <v>437</v>
      </c>
      <c r="B20" s="873" t="s">
        <v>438</v>
      </c>
      <c r="C20" s="36">
        <v>45900</v>
      </c>
      <c r="D20" s="85">
        <v>0</v>
      </c>
      <c r="E20" s="36">
        <f t="shared" si="1"/>
        <v>118800</v>
      </c>
      <c r="F20" s="37">
        <v>118800</v>
      </c>
      <c r="G20" s="37">
        <v>92400</v>
      </c>
    </row>
    <row r="21" spans="1:7" ht="18">
      <c r="A21" s="338" t="s">
        <v>49</v>
      </c>
      <c r="B21" s="1009" t="s">
        <v>50</v>
      </c>
      <c r="C21" s="38">
        <v>212500</v>
      </c>
      <c r="D21" s="38">
        <v>0</v>
      </c>
      <c r="E21" s="36">
        <v>270000</v>
      </c>
      <c r="F21" s="37">
        <v>270000</v>
      </c>
      <c r="G21" s="37">
        <v>270000</v>
      </c>
    </row>
    <row r="22" spans="1:7" ht="18">
      <c r="A22" s="359" t="s">
        <v>439</v>
      </c>
      <c r="B22" s="873" t="s">
        <v>440</v>
      </c>
      <c r="C22" s="38">
        <v>0</v>
      </c>
      <c r="D22" s="219">
        <v>0</v>
      </c>
      <c r="E22" s="36">
        <f t="shared" ref="E22:E26" si="2">F22-D22</f>
        <v>16500</v>
      </c>
      <c r="F22" s="37">
        <v>16500</v>
      </c>
      <c r="G22" s="37">
        <v>0</v>
      </c>
    </row>
    <row r="23" spans="1:7" ht="18">
      <c r="A23" s="359" t="s">
        <v>441</v>
      </c>
      <c r="B23" s="873" t="s">
        <v>442</v>
      </c>
      <c r="C23" s="36">
        <v>51000</v>
      </c>
      <c r="D23" s="85">
        <v>0</v>
      </c>
      <c r="E23" s="36">
        <f t="shared" si="2"/>
        <v>1167561.6000000001</v>
      </c>
      <c r="F23" s="37">
        <v>1167561.6000000001</v>
      </c>
      <c r="G23" s="37">
        <v>1175543</v>
      </c>
    </row>
    <row r="24" spans="1:7" ht="18">
      <c r="A24" s="338" t="s">
        <v>53</v>
      </c>
      <c r="B24" s="1009" t="s">
        <v>54</v>
      </c>
      <c r="C24" s="36">
        <v>1021336</v>
      </c>
      <c r="D24" s="219">
        <v>0</v>
      </c>
      <c r="E24" s="36">
        <f t="shared" si="2"/>
        <v>1308250</v>
      </c>
      <c r="F24" s="37">
        <v>1308250</v>
      </c>
      <c r="G24" s="37">
        <v>1424043</v>
      </c>
    </row>
    <row r="25" spans="1:7" ht="18">
      <c r="A25" s="338" t="s">
        <v>55</v>
      </c>
      <c r="B25" s="1009" t="s">
        <v>56</v>
      </c>
      <c r="C25" s="36">
        <v>217500</v>
      </c>
      <c r="D25" s="219">
        <v>0</v>
      </c>
      <c r="E25" s="36">
        <f t="shared" si="2"/>
        <v>270000</v>
      </c>
      <c r="F25" s="37">
        <v>270000</v>
      </c>
      <c r="G25" s="37">
        <v>270000</v>
      </c>
    </row>
    <row r="26" spans="1:7" ht="18">
      <c r="A26" s="338" t="s">
        <v>57</v>
      </c>
      <c r="B26" s="1009" t="s">
        <v>58</v>
      </c>
      <c r="C26" s="36">
        <v>1035430</v>
      </c>
      <c r="D26" s="67">
        <v>985792</v>
      </c>
      <c r="E26" s="36">
        <f t="shared" si="2"/>
        <v>322458</v>
      </c>
      <c r="F26" s="37">
        <v>1308250</v>
      </c>
      <c r="G26" s="37">
        <v>1364156</v>
      </c>
    </row>
    <row r="27" spans="1:7" ht="18">
      <c r="A27" s="338" t="s">
        <v>557</v>
      </c>
      <c r="B27" s="1009" t="s">
        <v>58</v>
      </c>
      <c r="C27" s="36">
        <v>0</v>
      </c>
      <c r="D27" s="880">
        <v>0</v>
      </c>
      <c r="E27" s="85"/>
      <c r="F27" s="37"/>
      <c r="G27" s="37">
        <v>378000</v>
      </c>
    </row>
    <row r="28" spans="1:7" ht="18">
      <c r="A28" s="333" t="s">
        <v>59</v>
      </c>
      <c r="B28" s="873"/>
      <c r="C28" s="36"/>
      <c r="D28" s="85"/>
      <c r="E28" s="85"/>
      <c r="F28" s="37"/>
      <c r="G28" s="37"/>
    </row>
    <row r="29" spans="1:7" ht="18">
      <c r="A29" s="338" t="s">
        <v>60</v>
      </c>
      <c r="B29" s="1009" t="s">
        <v>61</v>
      </c>
      <c r="C29" s="36">
        <v>1470861.82</v>
      </c>
      <c r="D29" s="85">
        <v>717184.13</v>
      </c>
      <c r="E29" s="36">
        <f t="shared" ref="E29:E32" si="3">F29-D29</f>
        <v>1166695.8700000001</v>
      </c>
      <c r="F29" s="37">
        <v>1883880</v>
      </c>
      <c r="G29" s="37">
        <v>2000316.84</v>
      </c>
    </row>
    <row r="30" spans="1:7" ht="18">
      <c r="A30" s="338" t="s">
        <v>62</v>
      </c>
      <c r="B30" s="1009" t="s">
        <v>63</v>
      </c>
      <c r="C30" s="36">
        <v>53000</v>
      </c>
      <c r="D30" s="85">
        <v>46762.5</v>
      </c>
      <c r="E30" s="36">
        <f t="shared" si="3"/>
        <v>18037.5</v>
      </c>
      <c r="F30" s="37">
        <v>64800</v>
      </c>
      <c r="G30" s="37">
        <v>129600</v>
      </c>
    </row>
    <row r="31" spans="1:7" ht="18">
      <c r="A31" s="338" t="s">
        <v>64</v>
      </c>
      <c r="B31" s="1009" t="s">
        <v>65</v>
      </c>
      <c r="C31" s="36">
        <v>236502.38</v>
      </c>
      <c r="D31" s="85">
        <v>158124.74</v>
      </c>
      <c r="E31" s="36">
        <f t="shared" si="3"/>
        <v>188051.02000000002</v>
      </c>
      <c r="F31" s="37">
        <v>346175.76</v>
      </c>
      <c r="G31" s="37">
        <v>341458.85</v>
      </c>
    </row>
    <row r="32" spans="1:7" ht="18">
      <c r="A32" s="341" t="s">
        <v>66</v>
      </c>
      <c r="B32" s="1010" t="s">
        <v>67</v>
      </c>
      <c r="C32" s="72">
        <v>53000</v>
      </c>
      <c r="D32" s="220">
        <v>25500</v>
      </c>
      <c r="E32" s="72">
        <f t="shared" si="3"/>
        <v>39300</v>
      </c>
      <c r="F32" s="123">
        <v>64800</v>
      </c>
      <c r="G32" s="123">
        <v>64800</v>
      </c>
    </row>
    <row r="33" spans="1:7" ht="18">
      <c r="A33" s="333" t="s">
        <v>68</v>
      </c>
      <c r="B33" s="1009"/>
      <c r="C33" s="36"/>
      <c r="D33" s="36"/>
      <c r="E33" s="36"/>
      <c r="F33" s="37"/>
      <c r="G33" s="37"/>
    </row>
    <row r="34" spans="1:7" ht="18.75" thickBot="1">
      <c r="A34" s="338" t="s">
        <v>558</v>
      </c>
      <c r="B34" s="1011" t="s">
        <v>520</v>
      </c>
      <c r="C34" s="48">
        <v>0</v>
      </c>
      <c r="D34" s="48">
        <v>0</v>
      </c>
      <c r="E34" s="48"/>
      <c r="F34" s="49"/>
      <c r="G34" s="49">
        <f>(G13+G14)/12*10*0.0481927</f>
        <v>669449.09288241668</v>
      </c>
    </row>
    <row r="35" spans="1:7" ht="19.5" thickTop="1" thickBot="1">
      <c r="A35" s="351" t="s">
        <v>71</v>
      </c>
      <c r="B35" s="876"/>
      <c r="C35" s="75">
        <f t="shared" ref="C35:F35" si="4">SUM(C13:C32)</f>
        <v>18354701.069999997</v>
      </c>
      <c r="D35" s="75">
        <f t="shared" si="4"/>
        <v>8827490.2700000014</v>
      </c>
      <c r="E35" s="75">
        <f t="shared" si="4"/>
        <v>15694527.09</v>
      </c>
      <c r="F35" s="75">
        <f t="shared" si="4"/>
        <v>24522017.360000003</v>
      </c>
      <c r="G35" s="75">
        <f>SUM(G13:G34)</f>
        <v>26955073.782882418</v>
      </c>
    </row>
    <row r="36" spans="1:7" ht="18.75" thickTop="1">
      <c r="A36" s="355" t="s">
        <v>72</v>
      </c>
      <c r="B36" s="878"/>
      <c r="C36" s="249"/>
      <c r="D36" s="249"/>
      <c r="E36" s="249"/>
      <c r="F36" s="47"/>
      <c r="G36" s="217"/>
    </row>
    <row r="37" spans="1:7" ht="18">
      <c r="A37" s="338" t="s">
        <v>377</v>
      </c>
      <c r="B37" s="878" t="s">
        <v>74</v>
      </c>
      <c r="C37" s="38">
        <v>52000</v>
      </c>
      <c r="D37" s="55">
        <v>0</v>
      </c>
      <c r="E37" s="36">
        <f t="shared" ref="E37:E99" si="5">F37-D37</f>
        <v>75000</v>
      </c>
      <c r="F37" s="37">
        <v>75000</v>
      </c>
      <c r="G37" s="37">
        <v>0</v>
      </c>
    </row>
    <row r="38" spans="1:7" ht="18">
      <c r="A38" s="338" t="s">
        <v>75</v>
      </c>
      <c r="B38" s="878" t="s">
        <v>76</v>
      </c>
      <c r="C38" s="38">
        <v>363105.61</v>
      </c>
      <c r="D38" s="55">
        <v>0</v>
      </c>
      <c r="E38" s="36">
        <f t="shared" si="5"/>
        <v>1000000</v>
      </c>
      <c r="F38" s="37">
        <v>1000000</v>
      </c>
      <c r="G38" s="37">
        <v>300000</v>
      </c>
    </row>
    <row r="39" spans="1:7" ht="18">
      <c r="A39" s="359" t="s">
        <v>224</v>
      </c>
      <c r="B39" s="873" t="s">
        <v>78</v>
      </c>
      <c r="C39" s="38">
        <v>693358.5</v>
      </c>
      <c r="D39" s="38">
        <v>0</v>
      </c>
      <c r="E39" s="36">
        <f t="shared" si="5"/>
        <v>1400000</v>
      </c>
      <c r="F39" s="37">
        <v>1400000</v>
      </c>
      <c r="G39" s="37">
        <v>267193.09999999998</v>
      </c>
    </row>
    <row r="40" spans="1:7" ht="18">
      <c r="A40" s="359" t="s">
        <v>472</v>
      </c>
      <c r="B40" s="873" t="s">
        <v>444</v>
      </c>
      <c r="C40" s="38">
        <v>42462.93</v>
      </c>
      <c r="D40" s="38">
        <v>0</v>
      </c>
      <c r="E40" s="36">
        <f t="shared" si="5"/>
        <v>50000</v>
      </c>
      <c r="F40" s="37">
        <v>50000</v>
      </c>
      <c r="G40" s="37">
        <v>0</v>
      </c>
    </row>
    <row r="41" spans="1:7" ht="18">
      <c r="A41" s="338" t="s">
        <v>473</v>
      </c>
      <c r="B41" s="1009" t="s">
        <v>80</v>
      </c>
      <c r="C41" s="38">
        <v>0</v>
      </c>
      <c r="D41" s="38">
        <v>49762.5</v>
      </c>
      <c r="E41" s="36">
        <f t="shared" si="5"/>
        <v>219037.5</v>
      </c>
      <c r="F41" s="37">
        <v>268800</v>
      </c>
      <c r="G41" s="37">
        <v>200000</v>
      </c>
    </row>
    <row r="42" spans="1:7" ht="18">
      <c r="A42" s="359" t="s">
        <v>400</v>
      </c>
      <c r="B42" s="873" t="s">
        <v>401</v>
      </c>
      <c r="C42" s="36">
        <v>2557500</v>
      </c>
      <c r="D42" s="38">
        <v>0</v>
      </c>
      <c r="E42" s="36">
        <f t="shared" si="5"/>
        <v>2500000</v>
      </c>
      <c r="F42" s="37">
        <v>2500000</v>
      </c>
      <c r="G42" s="37">
        <v>1800000</v>
      </c>
    </row>
    <row r="43" spans="1:7" ht="18">
      <c r="A43" s="359" t="s">
        <v>81</v>
      </c>
      <c r="B43" s="873" t="s">
        <v>82</v>
      </c>
      <c r="C43" s="36">
        <v>1476634</v>
      </c>
      <c r="D43" s="38">
        <v>18850</v>
      </c>
      <c r="E43" s="36">
        <f t="shared" si="5"/>
        <v>2281150</v>
      </c>
      <c r="F43" s="37">
        <v>2300000</v>
      </c>
      <c r="G43" s="37">
        <v>250000</v>
      </c>
    </row>
    <row r="44" spans="1:7" ht="18">
      <c r="A44" s="359" t="s">
        <v>83</v>
      </c>
      <c r="B44" s="873" t="s">
        <v>84</v>
      </c>
      <c r="C44" s="55">
        <v>60000</v>
      </c>
      <c r="D44" s="56">
        <v>30000</v>
      </c>
      <c r="E44" s="36">
        <f t="shared" si="5"/>
        <v>30000</v>
      </c>
      <c r="F44" s="37">
        <v>60000</v>
      </c>
      <c r="G44" s="37">
        <v>0</v>
      </c>
    </row>
    <row r="45" spans="1:7" ht="18">
      <c r="A45" s="359" t="s">
        <v>239</v>
      </c>
      <c r="B45" s="873"/>
      <c r="C45" s="55"/>
      <c r="D45" s="56"/>
      <c r="E45" s="36"/>
      <c r="F45" s="37"/>
      <c r="G45" s="37">
        <v>4649876.88</v>
      </c>
    </row>
    <row r="46" spans="1:7" ht="18">
      <c r="A46" s="338" t="s">
        <v>199</v>
      </c>
      <c r="B46" s="873" t="s">
        <v>200</v>
      </c>
      <c r="C46" s="36">
        <v>6090293.6100000003</v>
      </c>
      <c r="D46" s="56">
        <v>4198109.3499999996</v>
      </c>
      <c r="E46" s="36">
        <f t="shared" si="5"/>
        <v>5464290.6500000004</v>
      </c>
      <c r="F46" s="37">
        <v>9662400</v>
      </c>
      <c r="G46" s="37">
        <v>5448960</v>
      </c>
    </row>
    <row r="47" spans="1:7" ht="18">
      <c r="A47" s="338" t="s">
        <v>276</v>
      </c>
      <c r="B47" s="1009" t="s">
        <v>256</v>
      </c>
      <c r="C47" s="36">
        <v>702300</v>
      </c>
      <c r="D47" s="38">
        <v>0</v>
      </c>
      <c r="E47" s="36">
        <f t="shared" si="5"/>
        <v>1500000</v>
      </c>
      <c r="F47" s="37">
        <v>1500000</v>
      </c>
      <c r="G47" s="37">
        <v>300000</v>
      </c>
    </row>
    <row r="48" spans="1:7" ht="18">
      <c r="A48" s="338" t="s">
        <v>100</v>
      </c>
      <c r="B48" s="1009" t="s">
        <v>101</v>
      </c>
      <c r="C48" s="38">
        <v>501425.5</v>
      </c>
      <c r="D48" s="38">
        <v>108060</v>
      </c>
      <c r="E48" s="36">
        <f t="shared" si="5"/>
        <v>491940</v>
      </c>
      <c r="F48" s="37">
        <v>600000</v>
      </c>
      <c r="G48" s="37">
        <v>200000</v>
      </c>
    </row>
    <row r="49" spans="1:7" ht="18">
      <c r="A49" s="359" t="s">
        <v>108</v>
      </c>
      <c r="B49" s="88" t="s">
        <v>109</v>
      </c>
      <c r="C49" s="36"/>
      <c r="D49" s="36"/>
      <c r="E49" s="36"/>
      <c r="F49" s="37"/>
      <c r="G49" s="37"/>
    </row>
    <row r="50" spans="1:7" ht="36">
      <c r="A50" s="1012" t="s">
        <v>723</v>
      </c>
      <c r="B50" s="1013"/>
      <c r="C50" s="36"/>
      <c r="D50" s="36"/>
      <c r="E50" s="36"/>
      <c r="F50" s="37"/>
      <c r="G50" s="37">
        <v>100000</v>
      </c>
    </row>
    <row r="51" spans="1:7" ht="18">
      <c r="A51" s="1012" t="s">
        <v>724</v>
      </c>
      <c r="B51" s="1013"/>
      <c r="C51" s="36"/>
      <c r="D51" s="36"/>
      <c r="E51" s="36"/>
      <c r="F51" s="37"/>
      <c r="G51" s="197">
        <v>100000</v>
      </c>
    </row>
    <row r="52" spans="1:7" ht="36">
      <c r="A52" s="1012" t="s">
        <v>725</v>
      </c>
      <c r="B52" s="1013"/>
      <c r="C52" s="36"/>
      <c r="D52" s="36"/>
      <c r="E52" s="36"/>
      <c r="F52" s="37"/>
      <c r="G52" s="37">
        <v>100000</v>
      </c>
    </row>
    <row r="53" spans="1:7" ht="36">
      <c r="A53" s="1012" t="s">
        <v>479</v>
      </c>
      <c r="B53" s="72"/>
      <c r="C53" s="38"/>
      <c r="D53" s="38">
        <v>1993305</v>
      </c>
      <c r="E53" s="36">
        <f t="shared" ref="E53" si="6">F53-D53</f>
        <v>6695</v>
      </c>
      <c r="F53" s="37">
        <v>2000000</v>
      </c>
      <c r="G53" s="37">
        <v>1500000</v>
      </c>
    </row>
    <row r="54" spans="1:7" ht="18">
      <c r="A54" s="1012" t="s">
        <v>726</v>
      </c>
      <c r="B54" s="72"/>
      <c r="C54" s="38"/>
      <c r="D54" s="38"/>
      <c r="E54" s="36"/>
      <c r="F54" s="37"/>
      <c r="G54" s="37">
        <v>100000</v>
      </c>
    </row>
    <row r="55" spans="1:7" ht="36">
      <c r="A55" s="1012" t="s">
        <v>727</v>
      </c>
      <c r="B55" s="72"/>
      <c r="C55" s="38"/>
      <c r="D55" s="38"/>
      <c r="E55" s="36"/>
      <c r="F55" s="37"/>
      <c r="G55" s="37">
        <v>100000</v>
      </c>
    </row>
    <row r="56" spans="1:7" ht="18">
      <c r="A56" s="1012" t="s">
        <v>728</v>
      </c>
      <c r="B56" s="72"/>
      <c r="C56" s="38"/>
      <c r="D56" s="38"/>
      <c r="E56" s="36"/>
      <c r="F56" s="37"/>
      <c r="G56" s="37">
        <v>100000</v>
      </c>
    </row>
    <row r="57" spans="1:7" ht="18">
      <c r="A57" s="1014" t="s">
        <v>729</v>
      </c>
      <c r="B57" s="41"/>
      <c r="C57" s="38">
        <v>0</v>
      </c>
      <c r="D57" s="38">
        <v>0</v>
      </c>
      <c r="E57" s="38">
        <v>0</v>
      </c>
      <c r="F57" s="38">
        <v>0</v>
      </c>
      <c r="G57" s="37">
        <v>2000000</v>
      </c>
    </row>
    <row r="58" spans="1:7" ht="36">
      <c r="A58" s="1012" t="s">
        <v>730</v>
      </c>
      <c r="B58" s="72"/>
      <c r="C58" s="38"/>
      <c r="D58" s="38"/>
      <c r="E58" s="36"/>
      <c r="F58" s="37"/>
      <c r="G58" s="37">
        <v>100000</v>
      </c>
    </row>
    <row r="59" spans="1:7" ht="36">
      <c r="A59" s="1015" t="s">
        <v>731</v>
      </c>
      <c r="B59" s="1016"/>
      <c r="C59" s="38">
        <v>0</v>
      </c>
      <c r="D59" s="38"/>
      <c r="E59" s="36"/>
      <c r="F59" s="57"/>
      <c r="G59" s="57">
        <v>100000</v>
      </c>
    </row>
    <row r="60" spans="1:7" ht="36">
      <c r="A60" s="1015" t="s">
        <v>732</v>
      </c>
      <c r="B60" s="1016"/>
      <c r="C60" s="97"/>
      <c r="D60" s="97"/>
      <c r="E60" s="72"/>
      <c r="F60" s="99"/>
      <c r="G60" s="99">
        <v>50000</v>
      </c>
    </row>
    <row r="61" spans="1:7" ht="18">
      <c r="A61" s="1014" t="s">
        <v>499</v>
      </c>
      <c r="B61" s="41"/>
      <c r="C61" s="41">
        <v>1814023.15</v>
      </c>
      <c r="D61" s="946">
        <v>0</v>
      </c>
      <c r="E61" s="41">
        <f t="shared" ref="E61:E64" si="7">F61-D61</f>
        <v>0</v>
      </c>
      <c r="F61" s="401">
        <v>0</v>
      </c>
      <c r="G61" s="37">
        <v>0</v>
      </c>
    </row>
    <row r="62" spans="1:7" ht="36.75" thickBot="1">
      <c r="A62" s="1012" t="s">
        <v>475</v>
      </c>
      <c r="B62" s="72"/>
      <c r="C62" s="38"/>
      <c r="D62" s="38">
        <v>0</v>
      </c>
      <c r="E62" s="36">
        <f t="shared" si="7"/>
        <v>50000</v>
      </c>
      <c r="F62" s="37">
        <v>50000</v>
      </c>
      <c r="G62" s="1017">
        <v>0</v>
      </c>
    </row>
    <row r="63" spans="1:7" ht="18.75" thickBot="1">
      <c r="A63" s="1012" t="s">
        <v>477</v>
      </c>
      <c r="B63" s="72"/>
      <c r="C63" s="38"/>
      <c r="D63" s="38">
        <v>0</v>
      </c>
      <c r="E63" s="36">
        <f t="shared" si="7"/>
        <v>1000000</v>
      </c>
      <c r="F63" s="37">
        <v>1000000</v>
      </c>
      <c r="G63" s="1017">
        <v>0</v>
      </c>
    </row>
    <row r="64" spans="1:7" ht="25.9" customHeight="1" thickBot="1">
      <c r="A64" s="1018" t="s">
        <v>489</v>
      </c>
      <c r="B64" s="72"/>
      <c r="C64" s="38"/>
      <c r="D64" s="38">
        <v>198850</v>
      </c>
      <c r="E64" s="36">
        <f t="shared" si="7"/>
        <v>901150</v>
      </c>
      <c r="F64" s="37">
        <v>1100000</v>
      </c>
      <c r="G64" s="1017">
        <v>0</v>
      </c>
    </row>
    <row r="65" spans="1:7" ht="36.75" thickBot="1">
      <c r="A65" s="1019" t="s">
        <v>474</v>
      </c>
      <c r="B65" s="288"/>
      <c r="C65" s="886">
        <v>0</v>
      </c>
      <c r="D65" s="886">
        <v>0</v>
      </c>
      <c r="E65" s="288">
        <f t="shared" si="5"/>
        <v>100000</v>
      </c>
      <c r="F65" s="1020">
        <v>100000</v>
      </c>
      <c r="G65" s="1017">
        <v>0</v>
      </c>
    </row>
    <row r="66" spans="1:7" ht="18">
      <c r="A66" s="1021"/>
      <c r="B66" s="267"/>
      <c r="C66" s="176"/>
      <c r="D66" s="176"/>
      <c r="E66" s="267"/>
      <c r="F66" s="267"/>
      <c r="G66" s="176"/>
    </row>
    <row r="67" spans="1:7" ht="18">
      <c r="A67" s="311" t="s">
        <v>13</v>
      </c>
      <c r="B67" s="312"/>
      <c r="C67" s="313"/>
      <c r="D67" s="313"/>
      <c r="E67" s="313"/>
      <c r="F67" s="312"/>
      <c r="G67" s="312"/>
    </row>
    <row r="68" spans="1:7" ht="21">
      <c r="A68" s="1225" t="s">
        <v>0</v>
      </c>
      <c r="B68" s="1241"/>
      <c r="C68" s="1241"/>
      <c r="D68" s="1241"/>
      <c r="E68" s="1241"/>
      <c r="F68" s="1241"/>
      <c r="G68" s="1241"/>
    </row>
    <row r="69" spans="1:7" ht="18">
      <c r="A69" s="1227" t="s">
        <v>14</v>
      </c>
      <c r="B69" s="1241"/>
      <c r="C69" s="1241"/>
      <c r="D69" s="1241"/>
      <c r="E69" s="1241"/>
      <c r="F69" s="1241"/>
      <c r="G69" s="1241"/>
    </row>
    <row r="70" spans="1:7" ht="18">
      <c r="A70" s="315"/>
      <c r="B70" s="315"/>
      <c r="C70" s="316"/>
      <c r="D70" s="316"/>
      <c r="E70" s="316"/>
      <c r="F70" s="315"/>
      <c r="G70" s="315"/>
    </row>
    <row r="71" spans="1:7" ht="18.75" thickBot="1">
      <c r="A71" s="317" t="s">
        <v>470</v>
      </c>
      <c r="B71" s="317"/>
      <c r="C71" s="577"/>
      <c r="D71" s="577"/>
      <c r="E71" s="1006"/>
      <c r="F71" s="317"/>
      <c r="G71" s="317"/>
    </row>
    <row r="72" spans="1:7" ht="16.5" thickTop="1" thickBot="1">
      <c r="A72" s="1228" t="s">
        <v>16</v>
      </c>
      <c r="B72" s="1228" t="s">
        <v>17</v>
      </c>
      <c r="C72" s="1230" t="s">
        <v>238</v>
      </c>
      <c r="D72" s="1231" t="s">
        <v>292</v>
      </c>
      <c r="E72" s="1242"/>
      <c r="F72" s="1243"/>
      <c r="G72" s="1228" t="s">
        <v>20</v>
      </c>
    </row>
    <row r="73" spans="1:7" ht="35.25" thickTop="1">
      <c r="A73" s="1234"/>
      <c r="B73" s="1234"/>
      <c r="C73" s="1234"/>
      <c r="D73" s="320" t="s">
        <v>21</v>
      </c>
      <c r="E73" s="320" t="s">
        <v>22</v>
      </c>
      <c r="F73" s="1228" t="s">
        <v>23</v>
      </c>
      <c r="G73" s="1234"/>
    </row>
    <row r="74" spans="1:7" ht="18">
      <c r="A74" s="1234"/>
      <c r="B74" s="1234"/>
      <c r="C74" s="1234"/>
      <c r="D74" s="321" t="s">
        <v>24</v>
      </c>
      <c r="E74" s="321" t="s">
        <v>25</v>
      </c>
      <c r="F74" s="1234"/>
      <c r="G74" s="1234"/>
    </row>
    <row r="75" spans="1:7" ht="18.75" thickBot="1">
      <c r="A75" s="322" t="s">
        <v>26</v>
      </c>
      <c r="B75" s="322" t="s">
        <v>27</v>
      </c>
      <c r="C75" s="323" t="s">
        <v>28</v>
      </c>
      <c r="D75" s="323" t="s">
        <v>29</v>
      </c>
      <c r="E75" s="323" t="s">
        <v>30</v>
      </c>
      <c r="F75" s="322" t="s">
        <v>31</v>
      </c>
      <c r="G75" s="322" t="s">
        <v>32</v>
      </c>
    </row>
    <row r="76" spans="1:7" ht="54.75" thickTop="1">
      <c r="A76" s="539" t="s">
        <v>502</v>
      </c>
      <c r="B76" s="873"/>
      <c r="C76" s="36">
        <v>484607.6</v>
      </c>
      <c r="D76" s="38">
        <v>0</v>
      </c>
      <c r="E76" s="36">
        <f t="shared" ref="E76" si="8">F76-D76</f>
        <v>0</v>
      </c>
      <c r="F76" s="57">
        <v>0</v>
      </c>
      <c r="G76" s="1022">
        <v>0</v>
      </c>
    </row>
    <row r="77" spans="1:7" ht="36">
      <c r="A77" s="1012" t="s">
        <v>476</v>
      </c>
      <c r="B77" s="72"/>
      <c r="C77" s="38">
        <v>0</v>
      </c>
      <c r="D77" s="38">
        <v>0</v>
      </c>
      <c r="E77" s="36">
        <f t="shared" si="5"/>
        <v>25000</v>
      </c>
      <c r="F77" s="37">
        <v>25000</v>
      </c>
      <c r="G77" s="207">
        <v>0</v>
      </c>
    </row>
    <row r="78" spans="1:7" ht="18">
      <c r="A78" s="1012" t="s">
        <v>478</v>
      </c>
      <c r="B78" s="72"/>
      <c r="C78" s="38">
        <v>0</v>
      </c>
      <c r="D78" s="38">
        <v>0</v>
      </c>
      <c r="E78" s="36">
        <f t="shared" si="5"/>
        <v>200000</v>
      </c>
      <c r="F78" s="37">
        <v>200000</v>
      </c>
      <c r="G78" s="207">
        <v>0</v>
      </c>
    </row>
    <row r="79" spans="1:7" ht="36">
      <c r="A79" s="1012" t="s">
        <v>480</v>
      </c>
      <c r="B79" s="72"/>
      <c r="C79" s="38">
        <v>0</v>
      </c>
      <c r="D79" s="38">
        <v>111905</v>
      </c>
      <c r="E79" s="36">
        <f t="shared" si="5"/>
        <v>988095</v>
      </c>
      <c r="F79" s="37">
        <f>500000+600000</f>
        <v>1100000</v>
      </c>
      <c r="G79" s="207">
        <v>0</v>
      </c>
    </row>
    <row r="80" spans="1:7" ht="36">
      <c r="A80" s="1012" t="s">
        <v>481</v>
      </c>
      <c r="B80" s="72"/>
      <c r="C80" s="38">
        <v>0</v>
      </c>
      <c r="D80" s="38">
        <v>0</v>
      </c>
      <c r="E80" s="36">
        <f t="shared" si="5"/>
        <v>100000</v>
      </c>
      <c r="F80" s="37">
        <v>100000</v>
      </c>
      <c r="G80" s="207">
        <v>0</v>
      </c>
    </row>
    <row r="81" spans="1:7" ht="18">
      <c r="A81" s="1012" t="s">
        <v>482</v>
      </c>
      <c r="B81" s="72"/>
      <c r="C81" s="38">
        <v>0</v>
      </c>
      <c r="D81" s="38">
        <v>0</v>
      </c>
      <c r="E81" s="36">
        <f t="shared" si="5"/>
        <v>50000</v>
      </c>
      <c r="F81" s="37">
        <v>50000</v>
      </c>
      <c r="G81" s="207">
        <v>0</v>
      </c>
    </row>
    <row r="82" spans="1:7" ht="18">
      <c r="A82" s="1012" t="s">
        <v>483</v>
      </c>
      <c r="B82" s="72"/>
      <c r="C82" s="38">
        <v>0</v>
      </c>
      <c r="D82" s="38">
        <v>0</v>
      </c>
      <c r="E82" s="36">
        <f t="shared" si="5"/>
        <v>50000</v>
      </c>
      <c r="F82" s="37">
        <v>50000</v>
      </c>
      <c r="G82" s="207">
        <v>0</v>
      </c>
    </row>
    <row r="83" spans="1:7" ht="18">
      <c r="A83" s="1012" t="s">
        <v>484</v>
      </c>
      <c r="B83" s="72"/>
      <c r="C83" s="38">
        <v>0</v>
      </c>
      <c r="D83" s="38">
        <v>0</v>
      </c>
      <c r="E83" s="36">
        <f t="shared" si="5"/>
        <v>50000</v>
      </c>
      <c r="F83" s="37">
        <v>50000</v>
      </c>
      <c r="G83" s="207">
        <v>0</v>
      </c>
    </row>
    <row r="84" spans="1:7" ht="18">
      <c r="A84" s="1012" t="s">
        <v>485</v>
      </c>
      <c r="B84" s="72"/>
      <c r="C84" s="38">
        <v>0</v>
      </c>
      <c r="D84" s="38">
        <v>0</v>
      </c>
      <c r="E84" s="36">
        <f t="shared" si="5"/>
        <v>100000</v>
      </c>
      <c r="F84" s="37">
        <v>100000</v>
      </c>
      <c r="G84" s="207">
        <v>0</v>
      </c>
    </row>
    <row r="85" spans="1:7" ht="18">
      <c r="A85" s="1012" t="s">
        <v>486</v>
      </c>
      <c r="B85" s="72"/>
      <c r="C85" s="38">
        <v>0</v>
      </c>
      <c r="D85" s="38">
        <v>0</v>
      </c>
      <c r="E85" s="36">
        <f t="shared" si="5"/>
        <v>200000</v>
      </c>
      <c r="F85" s="37">
        <v>200000</v>
      </c>
      <c r="G85" s="207">
        <v>0</v>
      </c>
    </row>
    <row r="86" spans="1:7" ht="18">
      <c r="A86" s="1012" t="s">
        <v>487</v>
      </c>
      <c r="B86" s="72"/>
      <c r="C86" s="38">
        <v>0</v>
      </c>
      <c r="D86" s="38">
        <v>0</v>
      </c>
      <c r="E86" s="36">
        <f t="shared" si="5"/>
        <v>100000</v>
      </c>
      <c r="F86" s="37">
        <v>100000</v>
      </c>
      <c r="G86" s="207">
        <v>0</v>
      </c>
    </row>
    <row r="87" spans="1:7" ht="36">
      <c r="A87" s="1012" t="s">
        <v>488</v>
      </c>
      <c r="B87" s="72"/>
      <c r="C87" s="38">
        <v>0</v>
      </c>
      <c r="D87" s="38">
        <v>0</v>
      </c>
      <c r="E87" s="36">
        <f t="shared" si="5"/>
        <v>25000</v>
      </c>
      <c r="F87" s="37">
        <v>25000</v>
      </c>
      <c r="G87" s="207">
        <v>0</v>
      </c>
    </row>
    <row r="88" spans="1:7" ht="36">
      <c r="A88" s="1012" t="s">
        <v>490</v>
      </c>
      <c r="B88" s="72"/>
      <c r="C88" s="38">
        <v>0</v>
      </c>
      <c r="D88" s="38">
        <v>0</v>
      </c>
      <c r="E88" s="36">
        <f t="shared" si="5"/>
        <v>20000</v>
      </c>
      <c r="F88" s="37">
        <v>20000</v>
      </c>
      <c r="G88" s="207">
        <v>0</v>
      </c>
    </row>
    <row r="89" spans="1:7" ht="54">
      <c r="A89" s="1012" t="s">
        <v>491</v>
      </c>
      <c r="B89" s="72"/>
      <c r="C89" s="38">
        <v>0</v>
      </c>
      <c r="D89" s="38">
        <v>0</v>
      </c>
      <c r="E89" s="36">
        <f t="shared" si="5"/>
        <v>100000</v>
      </c>
      <c r="F89" s="37">
        <v>100000</v>
      </c>
      <c r="G89" s="207">
        <v>0</v>
      </c>
    </row>
    <row r="90" spans="1:7" ht="36">
      <c r="A90" s="1012" t="s">
        <v>492</v>
      </c>
      <c r="B90" s="72"/>
      <c r="C90" s="38">
        <v>0</v>
      </c>
      <c r="D90" s="38">
        <v>0</v>
      </c>
      <c r="E90" s="36">
        <f t="shared" si="5"/>
        <v>200000</v>
      </c>
      <c r="F90" s="37">
        <v>200000</v>
      </c>
      <c r="G90" s="207">
        <v>0</v>
      </c>
    </row>
    <row r="91" spans="1:7" ht="36">
      <c r="A91" s="1012" t="s">
        <v>493</v>
      </c>
      <c r="B91" s="72"/>
      <c r="C91" s="38">
        <v>0</v>
      </c>
      <c r="D91" s="38">
        <v>0</v>
      </c>
      <c r="E91" s="36">
        <f t="shared" si="5"/>
        <v>100000</v>
      </c>
      <c r="F91" s="37">
        <v>100000</v>
      </c>
      <c r="G91" s="207">
        <v>0</v>
      </c>
    </row>
    <row r="92" spans="1:7" ht="54">
      <c r="A92" s="1012" t="s">
        <v>494</v>
      </c>
      <c r="B92" s="72"/>
      <c r="C92" s="38">
        <v>0</v>
      </c>
      <c r="D92" s="38">
        <v>0</v>
      </c>
      <c r="E92" s="36">
        <f t="shared" si="5"/>
        <v>1000000</v>
      </c>
      <c r="F92" s="37">
        <v>1000000</v>
      </c>
      <c r="G92" s="207">
        <v>0</v>
      </c>
    </row>
    <row r="93" spans="1:7" ht="36">
      <c r="A93" s="1012" t="s">
        <v>495</v>
      </c>
      <c r="B93" s="72"/>
      <c r="C93" s="38">
        <v>0</v>
      </c>
      <c r="D93" s="38">
        <v>0</v>
      </c>
      <c r="E93" s="36">
        <f t="shared" si="5"/>
        <v>200000</v>
      </c>
      <c r="F93" s="37">
        <v>200000</v>
      </c>
      <c r="G93" s="207">
        <v>0</v>
      </c>
    </row>
    <row r="94" spans="1:7" ht="36">
      <c r="A94" s="1012" t="s">
        <v>496</v>
      </c>
      <c r="B94" s="72"/>
      <c r="C94" s="38">
        <v>0</v>
      </c>
      <c r="D94" s="38">
        <v>0</v>
      </c>
      <c r="E94" s="36">
        <f t="shared" si="5"/>
        <v>100000</v>
      </c>
      <c r="F94" s="37">
        <v>100000</v>
      </c>
      <c r="G94" s="207">
        <v>0</v>
      </c>
    </row>
    <row r="95" spans="1:7" ht="54">
      <c r="A95" s="1023" t="s">
        <v>497</v>
      </c>
      <c r="B95" s="72"/>
      <c r="C95" s="97">
        <v>0</v>
      </c>
      <c r="D95" s="97">
        <v>0</v>
      </c>
      <c r="E95" s="72">
        <f t="shared" si="5"/>
        <v>300000</v>
      </c>
      <c r="F95" s="123">
        <v>300000</v>
      </c>
      <c r="G95" s="1024">
        <v>0</v>
      </c>
    </row>
    <row r="96" spans="1:7" ht="18">
      <c r="A96" s="948" t="s">
        <v>498</v>
      </c>
      <c r="B96" s="36"/>
      <c r="C96" s="36">
        <v>2913720.4</v>
      </c>
      <c r="D96" s="36">
        <v>0</v>
      </c>
      <c r="E96" s="36">
        <f t="shared" si="5"/>
        <v>0</v>
      </c>
      <c r="F96" s="57">
        <v>0</v>
      </c>
      <c r="G96" s="207">
        <v>0</v>
      </c>
    </row>
    <row r="97" spans="1:13" ht="18">
      <c r="A97" s="948" t="s">
        <v>500</v>
      </c>
      <c r="B97" s="36"/>
      <c r="C97" s="38">
        <v>0</v>
      </c>
      <c r="D97" s="38">
        <v>0</v>
      </c>
      <c r="E97" s="36">
        <f t="shared" si="5"/>
        <v>0</v>
      </c>
      <c r="F97" s="57">
        <v>0</v>
      </c>
      <c r="G97" s="207">
        <v>0</v>
      </c>
    </row>
    <row r="98" spans="1:13" ht="18">
      <c r="A98" s="541" t="s">
        <v>501</v>
      </c>
      <c r="B98" s="36"/>
      <c r="C98" s="38"/>
      <c r="D98" s="38">
        <v>0</v>
      </c>
      <c r="E98" s="36">
        <f t="shared" si="5"/>
        <v>0</v>
      </c>
      <c r="F98" s="57">
        <v>0</v>
      </c>
      <c r="G98" s="207">
        <v>0</v>
      </c>
    </row>
    <row r="99" spans="1:13" ht="36.75" thickBot="1">
      <c r="A99" s="857" t="s">
        <v>503</v>
      </c>
      <c r="B99" s="1013"/>
      <c r="C99" s="36">
        <v>68000</v>
      </c>
      <c r="D99" s="38">
        <v>0</v>
      </c>
      <c r="E99" s="38">
        <f t="shared" si="5"/>
        <v>0</v>
      </c>
      <c r="F99" s="57">
        <v>0</v>
      </c>
      <c r="G99" s="207">
        <v>0</v>
      </c>
    </row>
    <row r="100" spans="1:13" ht="19.5" thickTop="1" thickBot="1">
      <c r="A100" s="351" t="s">
        <v>162</v>
      </c>
      <c r="B100" s="52"/>
      <c r="C100" s="75">
        <f>SUM(C37:C99)</f>
        <v>17819431.300000001</v>
      </c>
      <c r="D100" s="75">
        <f>SUM(D37:D99)</f>
        <v>6708841.8499999996</v>
      </c>
      <c r="E100" s="75">
        <f>SUM(E37:E99)</f>
        <v>20977358.149999999</v>
      </c>
      <c r="F100" s="75">
        <f>SUM(F37:F99)</f>
        <v>27686200</v>
      </c>
      <c r="G100" s="75">
        <f>G60+G59+G58+G57+G56+G55+G54+G53+G52+G50+G48+G47+G46+G45+G43+G42+G41+G39+G38+G51</f>
        <v>17766029.98</v>
      </c>
      <c r="J100" s="558">
        <f>17996029.98-G100</f>
        <v>230000</v>
      </c>
      <c r="K100" s="558"/>
      <c r="L100" s="558">
        <f>F100*0.3</f>
        <v>8305860</v>
      </c>
      <c r="M100" s="558"/>
    </row>
    <row r="101" spans="1:13" ht="18.75" thickTop="1">
      <c r="A101" s="355" t="s">
        <v>163</v>
      </c>
      <c r="B101" s="436"/>
      <c r="C101" s="91"/>
      <c r="D101" s="91"/>
      <c r="E101" s="91"/>
      <c r="F101" s="777"/>
      <c r="G101" s="1025"/>
      <c r="J101" s="558"/>
      <c r="K101" s="558"/>
    </row>
    <row r="102" spans="1:13" ht="18.75" thickBot="1">
      <c r="A102" s="510" t="s">
        <v>567</v>
      </c>
      <c r="B102" s="511" t="s">
        <v>210</v>
      </c>
      <c r="C102" s="461">
        <v>0</v>
      </c>
      <c r="D102" s="461">
        <v>0</v>
      </c>
      <c r="E102" s="461">
        <v>0</v>
      </c>
      <c r="F102" s="463">
        <v>0</v>
      </c>
      <c r="G102" s="1026">
        <v>100000</v>
      </c>
      <c r="J102" s="558"/>
      <c r="K102" s="558"/>
    </row>
    <row r="103" spans="1:13" ht="19.5" thickTop="1" thickBot="1">
      <c r="A103" s="351" t="s">
        <v>171</v>
      </c>
      <c r="B103" s="367"/>
      <c r="C103" s="112">
        <f>SUM(C102:C102)</f>
        <v>0</v>
      </c>
      <c r="D103" s="112">
        <f>SUM(D102:D102)</f>
        <v>0</v>
      </c>
      <c r="E103" s="112">
        <f>SUM(E102:E102)</f>
        <v>0</v>
      </c>
      <c r="F103" s="112">
        <f>SUM(F102:F102)</f>
        <v>0</v>
      </c>
      <c r="G103" s="112">
        <f>SUM(G102:G102)</f>
        <v>100000</v>
      </c>
      <c r="J103" s="558"/>
      <c r="K103" s="558"/>
    </row>
    <row r="104" spans="1:13" ht="18.75" thickTop="1">
      <c r="A104" s="726"/>
      <c r="B104" s="1027"/>
      <c r="C104" s="1028"/>
      <c r="D104" s="1028"/>
      <c r="E104" s="1028"/>
      <c r="F104" s="1029"/>
      <c r="G104" s="565"/>
      <c r="K104" s="314">
        <f>17746029.98+110000</f>
        <v>17856029.98</v>
      </c>
    </row>
    <row r="105" spans="1:13" ht="18">
      <c r="A105" s="970" t="s">
        <v>172</v>
      </c>
      <c r="B105" s="1030"/>
      <c r="C105" s="104"/>
      <c r="D105" s="104"/>
      <c r="E105" s="104"/>
      <c r="F105" s="105"/>
      <c r="G105" s="1031"/>
    </row>
    <row r="106" spans="1:13" ht="58.5">
      <c r="A106" s="1032" t="s">
        <v>504</v>
      </c>
      <c r="B106" s="36"/>
      <c r="C106" s="143">
        <v>2669116.91</v>
      </c>
      <c r="D106" s="143">
        <v>2204685.59</v>
      </c>
      <c r="E106" s="38">
        <f t="shared" ref="E106" si="9">F106-D106</f>
        <v>9929002.1699999999</v>
      </c>
      <c r="F106" s="92">
        <v>12133687.76</v>
      </c>
      <c r="G106" s="1033">
        <v>14636546.65</v>
      </c>
    </row>
    <row r="107" spans="1:13" ht="18.75" thickBot="1">
      <c r="A107" s="1034" t="s">
        <v>180</v>
      </c>
      <c r="B107" s="36"/>
      <c r="C107" s="1035">
        <f>SUM(C106)</f>
        <v>2669116.91</v>
      </c>
      <c r="D107" s="1035">
        <f t="shared" ref="D107:G107" si="10">SUM(D106)</f>
        <v>2204685.59</v>
      </c>
      <c r="E107" s="1035">
        <f t="shared" si="10"/>
        <v>9929002.1699999999</v>
      </c>
      <c r="F107" s="1036">
        <f t="shared" si="10"/>
        <v>12133687.76</v>
      </c>
      <c r="G107" s="1037">
        <f t="shared" si="10"/>
        <v>14636546.65</v>
      </c>
    </row>
    <row r="108" spans="1:13" ht="19.5" thickTop="1" thickBot="1">
      <c r="A108" s="351" t="s">
        <v>181</v>
      </c>
      <c r="B108" s="52"/>
      <c r="C108" s="75">
        <f>C100+C35</f>
        <v>36174132.369999997</v>
      </c>
      <c r="D108" s="75">
        <f>D100+D35</f>
        <v>15536332.120000001</v>
      </c>
      <c r="E108" s="75">
        <f>E100+E35</f>
        <v>36671885.239999995</v>
      </c>
      <c r="F108" s="75">
        <f>F100+F35</f>
        <v>52208217.359999999</v>
      </c>
      <c r="G108" s="75">
        <f>G107+G103+G100+G35</f>
        <v>59457650.412882417</v>
      </c>
    </row>
    <row r="109" spans="1:13" ht="18.75" thickTop="1">
      <c r="A109" s="317"/>
      <c r="B109" s="146"/>
      <c r="C109" s="146"/>
      <c r="D109" s="146"/>
      <c r="E109" s="146"/>
      <c r="F109" s="146"/>
      <c r="G109" s="146"/>
    </row>
    <row r="110" spans="1:13" ht="18">
      <c r="A110" s="317" t="s">
        <v>183</v>
      </c>
      <c r="B110" s="146" t="s">
        <v>184</v>
      </c>
      <c r="C110" s="146"/>
      <c r="D110" s="146"/>
      <c r="E110" s="146"/>
      <c r="F110" s="146" t="s">
        <v>185</v>
      </c>
      <c r="G110" s="146"/>
    </row>
    <row r="111" spans="1:13" ht="18">
      <c r="A111" s="317"/>
      <c r="B111" s="146"/>
      <c r="C111" s="146"/>
      <c r="D111" s="146"/>
      <c r="E111" s="146"/>
      <c r="F111" s="146"/>
      <c r="G111" s="146"/>
    </row>
    <row r="112" spans="1:13" ht="18">
      <c r="A112" s="317"/>
      <c r="B112" s="146"/>
      <c r="C112" s="146"/>
      <c r="D112" s="146"/>
      <c r="E112" s="146"/>
      <c r="F112" s="146"/>
      <c r="G112" s="146"/>
    </row>
    <row r="113" spans="1:7" ht="18">
      <c r="A113" s="317"/>
      <c r="B113" s="146"/>
      <c r="C113" s="146"/>
      <c r="D113" s="146"/>
      <c r="E113" s="146"/>
      <c r="F113" s="146"/>
      <c r="G113" s="146"/>
    </row>
    <row r="114" spans="1:7" ht="18">
      <c r="A114" s="317"/>
      <c r="B114" s="146"/>
      <c r="C114" s="146"/>
      <c r="D114" s="146"/>
      <c r="E114" s="146"/>
      <c r="F114" s="146"/>
      <c r="G114" s="146"/>
    </row>
    <row r="115" spans="1:7" ht="18">
      <c r="A115" s="368" t="s">
        <v>505</v>
      </c>
      <c r="B115" s="1293" t="s">
        <v>187</v>
      </c>
      <c r="C115" s="1290"/>
      <c r="D115" s="1290"/>
      <c r="E115" s="894"/>
      <c r="F115" s="1301" t="s">
        <v>188</v>
      </c>
      <c r="G115" s="1292"/>
    </row>
    <row r="116" spans="1:7" ht="18">
      <c r="A116" s="371" t="s">
        <v>506</v>
      </c>
      <c r="B116" s="1289" t="s">
        <v>190</v>
      </c>
      <c r="C116" s="1290"/>
      <c r="D116" s="1290"/>
      <c r="E116" s="895"/>
      <c r="F116" s="1302" t="s">
        <v>191</v>
      </c>
      <c r="G116" s="1292"/>
    </row>
    <row r="117" spans="1:7" ht="18">
      <c r="A117" s="317"/>
      <c r="B117" s="146"/>
      <c r="C117" s="146"/>
      <c r="D117" s="146"/>
      <c r="E117" s="146"/>
      <c r="F117" s="146"/>
      <c r="G117" s="146"/>
    </row>
    <row r="118" spans="1:7" ht="16.5">
      <c r="A118" s="1238" t="s">
        <v>222</v>
      </c>
      <c r="B118" s="1238"/>
      <c r="C118" s="1238"/>
      <c r="D118" s="1238"/>
      <c r="E118" s="1238"/>
      <c r="F118" s="1238"/>
      <c r="G118" s="1238"/>
    </row>
    <row r="119" spans="1:7" ht="18">
      <c r="A119" s="317"/>
      <c r="B119" s="146"/>
      <c r="C119" s="146"/>
      <c r="D119" s="146"/>
      <c r="E119" s="146"/>
      <c r="F119" s="146"/>
      <c r="G119" s="146"/>
    </row>
    <row r="120" spans="1:7" ht="18">
      <c r="A120" s="317"/>
      <c r="B120" s="146"/>
      <c r="C120" s="146"/>
      <c r="D120" s="146"/>
      <c r="E120" s="146"/>
      <c r="F120" s="146"/>
      <c r="G120" s="146"/>
    </row>
    <row r="121" spans="1:7" ht="18">
      <c r="A121" s="317"/>
      <c r="B121" s="146"/>
      <c r="C121" s="146"/>
      <c r="D121" s="146"/>
      <c r="E121" s="146"/>
      <c r="F121" s="146"/>
      <c r="G121" s="146"/>
    </row>
    <row r="122" spans="1:7" ht="18">
      <c r="A122" s="317"/>
      <c r="B122" s="146"/>
      <c r="C122" s="146"/>
      <c r="D122" s="146"/>
      <c r="E122" s="146"/>
      <c r="F122" s="146"/>
      <c r="G122" s="146"/>
    </row>
    <row r="123" spans="1:7" ht="18">
      <c r="A123" s="317"/>
      <c r="B123" s="146"/>
      <c r="C123" s="146"/>
      <c r="D123" s="146"/>
      <c r="E123" s="146"/>
      <c r="F123" s="146"/>
      <c r="G123" s="146"/>
    </row>
    <row r="124" spans="1:7" ht="18">
      <c r="A124" s="317"/>
      <c r="B124" s="146"/>
      <c r="C124" s="146"/>
      <c r="D124" s="146"/>
      <c r="E124" s="146"/>
      <c r="F124" s="146"/>
      <c r="G124" s="146"/>
    </row>
    <row r="125" spans="1:7" ht="18">
      <c r="A125" s="317"/>
      <c r="B125" s="146"/>
      <c r="C125" s="146"/>
      <c r="D125" s="146"/>
      <c r="E125" s="146"/>
      <c r="F125" s="146"/>
      <c r="G125" s="146"/>
    </row>
    <row r="126" spans="1:7" ht="18">
      <c r="A126" s="317"/>
      <c r="B126" s="146"/>
      <c r="C126" s="146"/>
      <c r="D126" s="146"/>
      <c r="E126" s="146"/>
      <c r="F126" s="146"/>
      <c r="G126" s="146"/>
    </row>
    <row r="127" spans="1:7" ht="18">
      <c r="A127" s="317"/>
      <c r="B127" s="146"/>
      <c r="C127" s="146"/>
      <c r="D127" s="146"/>
      <c r="E127" s="146"/>
      <c r="F127" s="146"/>
      <c r="G127" s="146"/>
    </row>
    <row r="128" spans="1:7" ht="18">
      <c r="A128" s="317"/>
      <c r="B128" s="146"/>
      <c r="C128" s="146"/>
      <c r="D128" s="146"/>
      <c r="E128" s="146"/>
      <c r="F128" s="146"/>
      <c r="G128" s="146"/>
    </row>
    <row r="129" spans="1:7" ht="18">
      <c r="A129" s="317"/>
      <c r="B129" s="146"/>
      <c r="C129" s="146"/>
      <c r="D129" s="146"/>
      <c r="E129" s="146"/>
      <c r="F129" s="146"/>
      <c r="G129" s="146"/>
    </row>
    <row r="130" spans="1:7" ht="18">
      <c r="A130" s="317"/>
      <c r="B130" s="146"/>
      <c r="C130" s="146"/>
      <c r="D130" s="146"/>
      <c r="E130" s="146"/>
      <c r="F130" s="146"/>
      <c r="G130" s="146"/>
    </row>
    <row r="131" spans="1:7" ht="18">
      <c r="A131" s="317"/>
      <c r="B131" s="146"/>
      <c r="C131" s="146"/>
      <c r="D131" s="146"/>
      <c r="E131" s="146"/>
      <c r="F131" s="146"/>
      <c r="G131" s="146"/>
    </row>
    <row r="132" spans="1:7" ht="18">
      <c r="A132" s="317"/>
      <c r="B132" s="146"/>
      <c r="C132" s="146"/>
      <c r="D132" s="146"/>
      <c r="E132" s="146"/>
      <c r="F132" s="146"/>
      <c r="G132" s="146"/>
    </row>
    <row r="133" spans="1:7" ht="18">
      <c r="A133" s="317"/>
      <c r="B133" s="146"/>
      <c r="C133" s="146"/>
      <c r="D133" s="146"/>
      <c r="E133" s="146"/>
      <c r="F133" s="146"/>
      <c r="G133" s="146"/>
    </row>
    <row r="134" spans="1:7" ht="18">
      <c r="A134" s="317"/>
      <c r="B134" s="146"/>
      <c r="C134" s="146"/>
      <c r="D134" s="146"/>
      <c r="E134" s="146"/>
      <c r="F134" s="146"/>
      <c r="G134" s="146"/>
    </row>
    <row r="135" spans="1:7" ht="18">
      <c r="A135" s="317"/>
      <c r="B135" s="146"/>
      <c r="C135" s="146"/>
      <c r="D135" s="146"/>
      <c r="E135" s="146"/>
      <c r="F135" s="146"/>
      <c r="G135" s="146"/>
    </row>
    <row r="136" spans="1:7" ht="18">
      <c r="A136" s="317"/>
      <c r="B136" s="146"/>
      <c r="C136" s="146"/>
      <c r="D136" s="146"/>
      <c r="E136" s="146"/>
      <c r="F136" s="146"/>
      <c r="G136" s="146"/>
    </row>
    <row r="137" spans="1:7" ht="18">
      <c r="A137" s="317"/>
      <c r="B137" s="146"/>
      <c r="C137" s="146"/>
      <c r="D137" s="146"/>
      <c r="E137" s="146"/>
      <c r="F137" s="146"/>
      <c r="G137" s="146"/>
    </row>
    <row r="138" spans="1:7" ht="18">
      <c r="A138" s="317"/>
      <c r="B138" s="146"/>
      <c r="C138" s="146"/>
      <c r="D138" s="146"/>
      <c r="E138" s="146"/>
      <c r="F138" s="146"/>
      <c r="G138" s="146"/>
    </row>
    <row r="139" spans="1:7" ht="18">
      <c r="A139" s="317"/>
      <c r="B139" s="146"/>
      <c r="C139" s="146"/>
      <c r="D139" s="146"/>
      <c r="E139" s="146"/>
      <c r="F139" s="146"/>
      <c r="G139" s="146"/>
    </row>
    <row r="140" spans="1:7" ht="18">
      <c r="A140" s="317"/>
      <c r="B140" s="146"/>
      <c r="C140" s="146"/>
      <c r="D140" s="146"/>
      <c r="E140" s="146"/>
      <c r="F140" s="146"/>
      <c r="G140" s="146"/>
    </row>
    <row r="141" spans="1:7" ht="18">
      <c r="A141" s="317"/>
      <c r="B141" s="146"/>
      <c r="C141" s="146"/>
      <c r="D141" s="146"/>
      <c r="E141" s="146"/>
      <c r="F141" s="146"/>
      <c r="G141" s="146"/>
    </row>
    <row r="142" spans="1:7" ht="18">
      <c r="A142" s="317"/>
      <c r="B142" s="146"/>
      <c r="C142" s="146"/>
      <c r="D142" s="146"/>
      <c r="E142" s="146"/>
      <c r="F142" s="146"/>
      <c r="G142" s="146"/>
    </row>
    <row r="143" spans="1:7" ht="18">
      <c r="A143" s="317"/>
      <c r="B143" s="146"/>
      <c r="C143" s="146"/>
      <c r="D143" s="146"/>
      <c r="E143" s="146"/>
      <c r="F143" s="146"/>
      <c r="G143" s="146"/>
    </row>
    <row r="144" spans="1:7" ht="18">
      <c r="A144" s="317"/>
      <c r="B144" s="146"/>
      <c r="C144" s="146"/>
      <c r="D144" s="146"/>
      <c r="E144" s="146"/>
      <c r="F144" s="146"/>
      <c r="G144" s="146"/>
    </row>
    <row r="145" spans="1:7" ht="18">
      <c r="A145" s="317"/>
      <c r="B145" s="146"/>
      <c r="C145" s="146"/>
      <c r="D145" s="146"/>
      <c r="E145" s="146"/>
      <c r="F145" s="146"/>
      <c r="G145" s="146"/>
    </row>
    <row r="146" spans="1:7" ht="18">
      <c r="A146" s="317"/>
      <c r="B146" s="146"/>
      <c r="C146" s="146"/>
      <c r="D146" s="146"/>
      <c r="E146" s="146"/>
      <c r="F146" s="146"/>
      <c r="G146" s="146"/>
    </row>
    <row r="147" spans="1:7" ht="18">
      <c r="A147" s="317"/>
      <c r="B147" s="146"/>
      <c r="C147" s="146"/>
      <c r="D147" s="146"/>
      <c r="E147" s="146"/>
      <c r="F147" s="146"/>
      <c r="G147" s="146"/>
    </row>
    <row r="148" spans="1:7" ht="18">
      <c r="A148" s="317"/>
      <c r="B148" s="146"/>
      <c r="C148" s="146"/>
      <c r="D148" s="146"/>
      <c r="E148" s="146"/>
      <c r="F148" s="146"/>
      <c r="G148" s="146"/>
    </row>
    <row r="149" spans="1:7" ht="18">
      <c r="A149" s="317"/>
      <c r="B149" s="146"/>
      <c r="C149" s="146"/>
      <c r="D149" s="146"/>
      <c r="E149" s="146"/>
      <c r="F149" s="146"/>
      <c r="G149" s="146"/>
    </row>
    <row r="150" spans="1:7" ht="18">
      <c r="A150" s="317"/>
      <c r="B150" s="146"/>
      <c r="C150" s="146"/>
      <c r="D150" s="146"/>
      <c r="E150" s="146"/>
      <c r="F150" s="146"/>
      <c r="G150" s="146"/>
    </row>
    <row r="151" spans="1:7" ht="18">
      <c r="A151" s="317"/>
      <c r="B151" s="146"/>
      <c r="C151" s="146"/>
      <c r="D151" s="146"/>
      <c r="E151" s="146"/>
      <c r="F151" s="146"/>
      <c r="G151" s="146"/>
    </row>
    <row r="152" spans="1:7" ht="18">
      <c r="A152" s="317"/>
      <c r="B152" s="146"/>
      <c r="C152" s="146"/>
      <c r="D152" s="146"/>
      <c r="E152" s="146"/>
      <c r="F152" s="146"/>
      <c r="G152" s="146"/>
    </row>
    <row r="153" spans="1:7" ht="18">
      <c r="A153" s="317"/>
      <c r="B153" s="146"/>
      <c r="C153" s="146"/>
      <c r="D153" s="146"/>
      <c r="E153" s="146"/>
      <c r="F153" s="146"/>
      <c r="G153" s="146"/>
    </row>
    <row r="154" spans="1:7" ht="18">
      <c r="A154" s="317"/>
      <c r="B154" s="146"/>
      <c r="C154" s="146"/>
      <c r="D154" s="146"/>
      <c r="E154" s="146"/>
      <c r="F154" s="146"/>
      <c r="G154" s="146"/>
    </row>
    <row r="155" spans="1:7" ht="18">
      <c r="A155" s="317"/>
      <c r="B155" s="146"/>
      <c r="C155" s="146"/>
      <c r="D155" s="146"/>
      <c r="E155" s="146"/>
      <c r="F155" s="146"/>
      <c r="G155" s="146"/>
    </row>
    <row r="156" spans="1:7" ht="18">
      <c r="A156" s="317"/>
      <c r="B156" s="146"/>
      <c r="C156" s="146"/>
      <c r="D156" s="146"/>
      <c r="E156" s="146"/>
      <c r="F156" s="146"/>
      <c r="G156" s="146"/>
    </row>
    <row r="157" spans="1:7" ht="18">
      <c r="A157" s="317"/>
      <c r="B157" s="146"/>
      <c r="C157" s="146"/>
      <c r="D157" s="146"/>
      <c r="E157" s="146"/>
      <c r="F157" s="146"/>
      <c r="G157" s="146"/>
    </row>
    <row r="158" spans="1:7" ht="18">
      <c r="A158" s="317"/>
      <c r="B158" s="146"/>
      <c r="C158" s="146"/>
      <c r="D158" s="146"/>
      <c r="E158" s="146"/>
      <c r="F158" s="146"/>
      <c r="G158" s="146"/>
    </row>
    <row r="159" spans="1:7" ht="18">
      <c r="A159" s="317"/>
      <c r="B159" s="146"/>
      <c r="C159" s="146"/>
      <c r="D159" s="146"/>
      <c r="E159" s="146"/>
      <c r="F159" s="146"/>
      <c r="G159" s="146"/>
    </row>
    <row r="160" spans="1:7" ht="18">
      <c r="A160" s="317"/>
      <c r="B160" s="146"/>
      <c r="C160" s="146"/>
      <c r="D160" s="146"/>
      <c r="E160" s="146"/>
      <c r="F160" s="146"/>
      <c r="G160" s="146"/>
    </row>
    <row r="161" spans="1:7" ht="18">
      <c r="A161" s="317"/>
      <c r="B161" s="146"/>
      <c r="C161" s="146"/>
      <c r="D161" s="146"/>
      <c r="E161" s="146"/>
      <c r="F161" s="146"/>
      <c r="G161" s="146"/>
    </row>
    <row r="162" spans="1:7" ht="18">
      <c r="A162" s="317"/>
      <c r="B162" s="146"/>
      <c r="C162" s="146"/>
      <c r="D162" s="146"/>
      <c r="E162" s="146"/>
      <c r="F162" s="146"/>
      <c r="G162" s="146"/>
    </row>
    <row r="163" spans="1:7" ht="18">
      <c r="A163" s="317"/>
      <c r="B163" s="146"/>
      <c r="C163" s="146"/>
      <c r="D163" s="146"/>
      <c r="E163" s="146"/>
      <c r="F163" s="146"/>
      <c r="G163" s="146"/>
    </row>
    <row r="164" spans="1:7" ht="18">
      <c r="A164" s="317"/>
      <c r="B164" s="146"/>
      <c r="C164" s="146"/>
      <c r="D164" s="146"/>
      <c r="E164" s="146"/>
      <c r="F164" s="146"/>
      <c r="G164" s="146"/>
    </row>
    <row r="165" spans="1:7" ht="18">
      <c r="A165" s="317"/>
      <c r="B165" s="146"/>
      <c r="C165" s="146"/>
      <c r="D165" s="146"/>
      <c r="E165" s="146"/>
      <c r="F165" s="146"/>
      <c r="G165" s="146"/>
    </row>
    <row r="166" spans="1:7" ht="18">
      <c r="A166" s="317"/>
      <c r="B166" s="146"/>
      <c r="C166" s="146"/>
      <c r="D166" s="146"/>
      <c r="E166" s="146"/>
      <c r="F166" s="146"/>
      <c r="G166" s="146"/>
    </row>
    <row r="167" spans="1:7" ht="18">
      <c r="A167" s="317"/>
      <c r="B167" s="146"/>
      <c r="C167" s="146"/>
      <c r="D167" s="146"/>
      <c r="E167" s="146"/>
      <c r="F167" s="146"/>
      <c r="G167" s="146"/>
    </row>
    <row r="168" spans="1:7" ht="18">
      <c r="A168" s="317"/>
      <c r="B168" s="146"/>
      <c r="C168" s="146"/>
      <c r="D168" s="146"/>
      <c r="E168" s="146"/>
      <c r="F168" s="146"/>
      <c r="G168" s="146"/>
    </row>
    <row r="169" spans="1:7" ht="18">
      <c r="A169" s="317"/>
      <c r="B169" s="146"/>
      <c r="C169" s="146"/>
      <c r="D169" s="146"/>
      <c r="E169" s="146"/>
      <c r="F169" s="146"/>
      <c r="G169" s="146"/>
    </row>
    <row r="170" spans="1:7" ht="18">
      <c r="A170" s="317"/>
      <c r="B170" s="146"/>
      <c r="C170" s="146"/>
      <c r="D170" s="146"/>
      <c r="E170" s="146"/>
      <c r="F170" s="146"/>
      <c r="G170" s="146"/>
    </row>
    <row r="171" spans="1:7" ht="18">
      <c r="A171" s="317"/>
      <c r="B171" s="146"/>
      <c r="C171" s="146"/>
      <c r="D171" s="146"/>
      <c r="E171" s="146"/>
      <c r="F171" s="146"/>
      <c r="G171" s="146"/>
    </row>
    <row r="172" spans="1:7" ht="18">
      <c r="A172" s="317"/>
      <c r="B172" s="146"/>
      <c r="C172" s="146"/>
      <c r="D172" s="146"/>
      <c r="E172" s="146"/>
      <c r="F172" s="146"/>
      <c r="G172" s="146"/>
    </row>
    <row r="173" spans="1:7" ht="18">
      <c r="A173" s="317"/>
      <c r="B173" s="146"/>
      <c r="C173" s="146"/>
      <c r="D173" s="146"/>
      <c r="E173" s="146"/>
      <c r="F173" s="146"/>
      <c r="G173" s="146"/>
    </row>
    <row r="174" spans="1:7" ht="18">
      <c r="A174" s="317"/>
      <c r="B174" s="146"/>
      <c r="C174" s="146"/>
      <c r="D174" s="146"/>
      <c r="E174" s="146"/>
      <c r="F174" s="146"/>
      <c r="G174" s="146"/>
    </row>
    <row r="175" spans="1:7" ht="18">
      <c r="A175" s="317"/>
      <c r="B175" s="146"/>
      <c r="C175" s="146"/>
      <c r="D175" s="146"/>
      <c r="E175" s="146"/>
      <c r="F175" s="146"/>
      <c r="G175" s="146"/>
    </row>
    <row r="176" spans="1:7" ht="18">
      <c r="A176" s="317"/>
      <c r="B176" s="146"/>
      <c r="C176" s="146"/>
      <c r="D176" s="146"/>
      <c r="E176" s="146"/>
      <c r="F176" s="146"/>
      <c r="G176" s="146"/>
    </row>
    <row r="177" spans="1:7" ht="18">
      <c r="A177" s="317"/>
      <c r="B177" s="146"/>
      <c r="C177" s="146"/>
      <c r="D177" s="146"/>
      <c r="E177" s="146"/>
      <c r="F177" s="146"/>
      <c r="G177" s="146"/>
    </row>
    <row r="178" spans="1:7" ht="18">
      <c r="A178" s="317"/>
      <c r="B178" s="146"/>
      <c r="C178" s="146"/>
      <c r="D178" s="146"/>
      <c r="E178" s="146"/>
      <c r="F178" s="146"/>
      <c r="G178" s="146"/>
    </row>
    <row r="179" spans="1:7" ht="18">
      <c r="A179" s="317"/>
      <c r="B179" s="146"/>
      <c r="C179" s="146"/>
      <c r="D179" s="146"/>
      <c r="E179" s="146"/>
      <c r="F179" s="146"/>
      <c r="G179" s="146"/>
    </row>
    <row r="180" spans="1:7" ht="18">
      <c r="A180" s="317"/>
      <c r="B180" s="146"/>
      <c r="C180" s="146"/>
      <c r="D180" s="146"/>
      <c r="E180" s="146"/>
      <c r="F180" s="146"/>
      <c r="G180" s="146"/>
    </row>
    <row r="181" spans="1:7" ht="18">
      <c r="A181" s="317"/>
      <c r="B181" s="146"/>
      <c r="C181" s="146"/>
      <c r="D181" s="146"/>
      <c r="E181" s="146"/>
      <c r="F181" s="146"/>
      <c r="G181" s="146"/>
    </row>
    <row r="182" spans="1:7" ht="18">
      <c r="A182" s="317"/>
      <c r="B182" s="146"/>
      <c r="C182" s="146"/>
      <c r="D182" s="146"/>
      <c r="E182" s="146"/>
      <c r="F182" s="146"/>
      <c r="G182" s="146"/>
    </row>
    <row r="183" spans="1:7" ht="18">
      <c r="A183" s="317"/>
      <c r="B183" s="146"/>
      <c r="C183" s="146"/>
      <c r="D183" s="146"/>
      <c r="E183" s="146"/>
      <c r="F183" s="146"/>
      <c r="G183" s="146"/>
    </row>
    <row r="184" spans="1:7" ht="18">
      <c r="A184" s="317"/>
      <c r="B184" s="146"/>
      <c r="C184" s="146"/>
      <c r="D184" s="146"/>
      <c r="E184" s="146"/>
      <c r="F184" s="146"/>
      <c r="G184" s="146"/>
    </row>
    <row r="185" spans="1:7" ht="18">
      <c r="A185" s="317"/>
      <c r="B185" s="146"/>
      <c r="C185" s="146"/>
      <c r="D185" s="146"/>
      <c r="E185" s="146"/>
      <c r="F185" s="146"/>
      <c r="G185" s="146"/>
    </row>
    <row r="186" spans="1:7" ht="18">
      <c r="A186" s="317"/>
      <c r="B186" s="146"/>
      <c r="C186" s="146"/>
      <c r="D186" s="146"/>
      <c r="E186" s="146"/>
      <c r="F186" s="146"/>
      <c r="G186" s="146"/>
    </row>
    <row r="187" spans="1:7" ht="18">
      <c r="A187" s="317"/>
      <c r="B187" s="146"/>
      <c r="C187" s="146"/>
      <c r="D187" s="146"/>
      <c r="E187" s="146"/>
      <c r="F187" s="146"/>
      <c r="G187" s="146"/>
    </row>
    <row r="188" spans="1:7" ht="18">
      <c r="A188" s="317"/>
      <c r="B188" s="146"/>
      <c r="C188" s="146"/>
      <c r="D188" s="146"/>
      <c r="E188" s="146"/>
      <c r="F188" s="146"/>
      <c r="G188" s="146"/>
    </row>
    <row r="189" spans="1:7" ht="18">
      <c r="A189" s="317"/>
      <c r="B189" s="146"/>
      <c r="C189" s="146"/>
      <c r="D189" s="146"/>
      <c r="E189" s="146"/>
      <c r="F189" s="146"/>
      <c r="G189" s="146"/>
    </row>
    <row r="190" spans="1:7" ht="18">
      <c r="A190" s="317"/>
      <c r="B190" s="146"/>
      <c r="C190" s="146"/>
      <c r="D190" s="146"/>
      <c r="E190" s="146"/>
      <c r="F190" s="146"/>
      <c r="G190" s="146"/>
    </row>
    <row r="191" spans="1:7" ht="18">
      <c r="A191" s="317"/>
      <c r="B191" s="146"/>
      <c r="C191" s="146"/>
      <c r="D191" s="146"/>
      <c r="E191" s="146"/>
      <c r="F191" s="146"/>
      <c r="G191" s="146"/>
    </row>
    <row r="192" spans="1:7" ht="18">
      <c r="A192" s="317"/>
      <c r="B192" s="146"/>
      <c r="C192" s="146"/>
      <c r="D192" s="146"/>
      <c r="E192" s="146"/>
      <c r="F192" s="146"/>
      <c r="G192" s="146"/>
    </row>
    <row r="193" spans="1:7" ht="18">
      <c r="A193" s="317"/>
      <c r="B193" s="146"/>
      <c r="C193" s="146"/>
      <c r="D193" s="146"/>
      <c r="E193" s="146"/>
      <c r="F193" s="146"/>
      <c r="G193" s="146"/>
    </row>
    <row r="194" spans="1:7" ht="18">
      <c r="A194" s="317"/>
      <c r="B194" s="146"/>
      <c r="C194" s="146"/>
      <c r="D194" s="146"/>
      <c r="E194" s="146"/>
      <c r="F194" s="146"/>
      <c r="G194" s="146"/>
    </row>
    <row r="195" spans="1:7" ht="18">
      <c r="A195" s="317"/>
      <c r="B195" s="146"/>
      <c r="C195" s="146"/>
      <c r="D195" s="146"/>
      <c r="E195" s="146"/>
      <c r="F195" s="146"/>
      <c r="G195" s="146"/>
    </row>
    <row r="196" spans="1:7" ht="18">
      <c r="A196" s="317"/>
      <c r="B196" s="146"/>
      <c r="C196" s="146"/>
      <c r="D196" s="146"/>
      <c r="E196" s="146"/>
      <c r="F196" s="146"/>
      <c r="G196" s="146"/>
    </row>
    <row r="197" spans="1:7" ht="18">
      <c r="A197" s="317"/>
      <c r="B197" s="146"/>
      <c r="C197" s="146"/>
      <c r="D197" s="146"/>
      <c r="E197" s="146"/>
      <c r="F197" s="146"/>
      <c r="G197" s="146"/>
    </row>
    <row r="198" spans="1:7" ht="18">
      <c r="A198" s="317"/>
      <c r="B198" s="146"/>
      <c r="C198" s="146"/>
      <c r="D198" s="146"/>
      <c r="E198" s="146"/>
      <c r="F198" s="146"/>
      <c r="G198" s="146"/>
    </row>
    <row r="199" spans="1:7" ht="18">
      <c r="A199" s="317"/>
      <c r="B199" s="146"/>
      <c r="C199" s="146"/>
      <c r="D199" s="146"/>
      <c r="E199" s="146"/>
      <c r="F199" s="146"/>
      <c r="G199" s="146"/>
    </row>
    <row r="200" spans="1:7" ht="18">
      <c r="A200" s="317"/>
      <c r="B200" s="146"/>
      <c r="C200" s="146"/>
      <c r="D200" s="146"/>
      <c r="E200" s="146"/>
      <c r="F200" s="146"/>
      <c r="G200" s="146"/>
    </row>
    <row r="201" spans="1:7" ht="18">
      <c r="A201" s="317"/>
      <c r="B201" s="146"/>
      <c r="C201" s="146"/>
      <c r="D201" s="146"/>
      <c r="E201" s="146"/>
      <c r="F201" s="146"/>
      <c r="G201" s="146"/>
    </row>
    <row r="202" spans="1:7" ht="18">
      <c r="A202" s="317"/>
      <c r="B202" s="146"/>
      <c r="C202" s="146"/>
      <c r="D202" s="146"/>
      <c r="E202" s="146"/>
      <c r="F202" s="146"/>
      <c r="G202" s="146"/>
    </row>
    <row r="203" spans="1:7" ht="18">
      <c r="A203" s="317"/>
      <c r="B203" s="146"/>
      <c r="C203" s="146"/>
      <c r="D203" s="146"/>
      <c r="E203" s="146"/>
      <c r="F203" s="146"/>
      <c r="G203" s="146"/>
    </row>
    <row r="204" spans="1:7" ht="18">
      <c r="A204" s="317"/>
      <c r="B204" s="146"/>
      <c r="C204" s="146"/>
      <c r="D204" s="146"/>
      <c r="E204" s="146"/>
      <c r="F204" s="146"/>
      <c r="G204" s="146"/>
    </row>
    <row r="205" spans="1:7" ht="18">
      <c r="A205" s="317"/>
      <c r="B205" s="146"/>
      <c r="C205" s="146"/>
      <c r="D205" s="146"/>
      <c r="E205" s="146"/>
      <c r="F205" s="146"/>
      <c r="G205" s="146"/>
    </row>
    <row r="206" spans="1:7" ht="18">
      <c r="A206" s="317"/>
      <c r="B206" s="146"/>
      <c r="C206" s="146"/>
      <c r="D206" s="146"/>
      <c r="E206" s="146"/>
      <c r="F206" s="146"/>
      <c r="G206" s="146"/>
    </row>
    <row r="207" spans="1:7" ht="18">
      <c r="A207" s="317"/>
      <c r="B207" s="146"/>
      <c r="C207" s="146"/>
      <c r="D207" s="146"/>
      <c r="E207" s="146"/>
      <c r="F207" s="146"/>
      <c r="G207" s="146"/>
    </row>
    <row r="208" spans="1:7" ht="18">
      <c r="A208" s="317"/>
      <c r="B208" s="146"/>
      <c r="C208" s="146"/>
      <c r="D208" s="146"/>
      <c r="E208" s="146"/>
      <c r="F208" s="146"/>
      <c r="G208" s="146"/>
    </row>
    <row r="209" spans="1:7" ht="18">
      <c r="A209" s="317"/>
      <c r="B209" s="146"/>
      <c r="C209" s="146"/>
      <c r="D209" s="146"/>
      <c r="E209" s="146"/>
      <c r="F209" s="146"/>
      <c r="G209" s="146"/>
    </row>
    <row r="210" spans="1:7" ht="18">
      <c r="A210" s="317"/>
      <c r="B210" s="146"/>
      <c r="C210" s="146"/>
      <c r="D210" s="146"/>
      <c r="E210" s="146"/>
      <c r="F210" s="146"/>
      <c r="G210" s="146"/>
    </row>
    <row r="211" spans="1:7" ht="18">
      <c r="A211" s="317"/>
      <c r="B211" s="146"/>
      <c r="C211" s="146"/>
      <c r="D211" s="146"/>
      <c r="E211" s="146"/>
      <c r="F211" s="146"/>
      <c r="G211" s="146"/>
    </row>
    <row r="212" spans="1:7" ht="18">
      <c r="A212" s="317"/>
      <c r="B212" s="317"/>
      <c r="C212" s="577"/>
      <c r="D212" s="577"/>
      <c r="E212" s="577"/>
      <c r="F212" s="317"/>
      <c r="G212" s="317"/>
    </row>
    <row r="213" spans="1:7" ht="18">
      <c r="A213" s="317"/>
      <c r="B213" s="317"/>
      <c r="C213" s="577"/>
      <c r="D213" s="577"/>
      <c r="E213" s="577"/>
      <c r="F213" s="317"/>
      <c r="G213" s="317"/>
    </row>
    <row r="214" spans="1:7" ht="18">
      <c r="A214" s="317"/>
      <c r="B214" s="317"/>
      <c r="C214" s="577"/>
      <c r="D214" s="577"/>
      <c r="E214" s="577"/>
      <c r="F214" s="317"/>
      <c r="G214" s="317"/>
    </row>
    <row r="215" spans="1:7" ht="18">
      <c r="A215" s="317"/>
      <c r="B215" s="317"/>
      <c r="C215" s="577"/>
      <c r="D215" s="577"/>
      <c r="E215" s="577"/>
      <c r="F215" s="317"/>
      <c r="G215" s="317"/>
    </row>
    <row r="216" spans="1:7" ht="18">
      <c r="A216" s="317"/>
      <c r="B216" s="317"/>
      <c r="C216" s="577"/>
      <c r="D216" s="577"/>
      <c r="E216" s="577"/>
      <c r="F216" s="317"/>
      <c r="G216" s="317"/>
    </row>
    <row r="217" spans="1:7" ht="18">
      <c r="A217" s="317"/>
      <c r="B217" s="317"/>
      <c r="C217" s="577"/>
      <c r="D217" s="577"/>
      <c r="E217" s="577"/>
      <c r="F217" s="317"/>
      <c r="G217" s="317"/>
    </row>
    <row r="218" spans="1:7" ht="18">
      <c r="A218" s="317"/>
      <c r="B218" s="317"/>
      <c r="C218" s="577"/>
      <c r="D218" s="577"/>
      <c r="E218" s="577"/>
      <c r="F218" s="317"/>
      <c r="G218" s="317"/>
    </row>
    <row r="219" spans="1:7" ht="18">
      <c r="A219" s="317"/>
      <c r="B219" s="317"/>
      <c r="C219" s="577"/>
      <c r="D219" s="577"/>
      <c r="E219" s="577"/>
      <c r="F219" s="317"/>
      <c r="G219" s="317"/>
    </row>
    <row r="220" spans="1:7" ht="18">
      <c r="A220" s="317"/>
      <c r="B220" s="317"/>
      <c r="C220" s="577"/>
      <c r="D220" s="577"/>
      <c r="E220" s="577"/>
      <c r="F220" s="317"/>
      <c r="G220" s="317"/>
    </row>
    <row r="221" spans="1:7" ht="18">
      <c r="A221" s="317"/>
      <c r="B221" s="317"/>
      <c r="C221" s="577"/>
      <c r="D221" s="577"/>
      <c r="E221" s="577"/>
      <c r="F221" s="317"/>
      <c r="G221" s="317"/>
    </row>
    <row r="222" spans="1:7" ht="18">
      <c r="A222" s="317"/>
      <c r="B222" s="317"/>
      <c r="C222" s="577"/>
      <c r="D222" s="577"/>
      <c r="E222" s="577"/>
      <c r="F222" s="317"/>
      <c r="G222" s="317"/>
    </row>
    <row r="223" spans="1:7" ht="18">
      <c r="A223" s="317"/>
      <c r="B223" s="317"/>
      <c r="C223" s="577"/>
      <c r="D223" s="577"/>
      <c r="E223" s="577"/>
      <c r="F223" s="317"/>
      <c r="G223" s="317"/>
    </row>
    <row r="224" spans="1:7" ht="18">
      <c r="A224" s="317"/>
      <c r="B224" s="317"/>
      <c r="C224" s="577"/>
      <c r="D224" s="577"/>
      <c r="E224" s="577"/>
      <c r="F224" s="317"/>
      <c r="G224" s="317"/>
    </row>
    <row r="225" spans="1:7" ht="18">
      <c r="A225" s="317"/>
      <c r="B225" s="317"/>
      <c r="C225" s="577"/>
      <c r="D225" s="577"/>
      <c r="E225" s="577"/>
      <c r="F225" s="317"/>
      <c r="G225" s="317"/>
    </row>
    <row r="226" spans="1:7" ht="18">
      <c r="A226" s="317"/>
      <c r="B226" s="317"/>
      <c r="C226" s="577"/>
      <c r="D226" s="577"/>
      <c r="E226" s="577"/>
      <c r="F226" s="317"/>
      <c r="G226" s="317"/>
    </row>
    <row r="227" spans="1:7" ht="18">
      <c r="A227" s="317"/>
      <c r="B227" s="317"/>
      <c r="C227" s="577"/>
      <c r="D227" s="577"/>
      <c r="E227" s="577"/>
      <c r="F227" s="317"/>
      <c r="G227" s="317"/>
    </row>
    <row r="228" spans="1:7" ht="18">
      <c r="A228" s="317"/>
      <c r="B228" s="317"/>
      <c r="C228" s="577"/>
      <c r="D228" s="577"/>
      <c r="E228" s="577"/>
      <c r="F228" s="317"/>
      <c r="G228" s="317"/>
    </row>
    <row r="229" spans="1:7" ht="18">
      <c r="A229" s="317"/>
      <c r="B229" s="317"/>
      <c r="C229" s="577"/>
      <c r="D229" s="577"/>
      <c r="E229" s="577"/>
      <c r="F229" s="317"/>
      <c r="G229" s="317"/>
    </row>
    <row r="230" spans="1:7" ht="18">
      <c r="A230" s="317"/>
      <c r="B230" s="317"/>
      <c r="C230" s="577"/>
      <c r="D230" s="577"/>
      <c r="E230" s="577"/>
      <c r="F230" s="317"/>
      <c r="G230" s="317"/>
    </row>
    <row r="231" spans="1:7" ht="18">
      <c r="A231" s="317"/>
      <c r="B231" s="317"/>
      <c r="C231" s="577"/>
      <c r="D231" s="577"/>
      <c r="E231" s="577"/>
      <c r="F231" s="317"/>
      <c r="G231" s="317"/>
    </row>
    <row r="232" spans="1:7" ht="18">
      <c r="A232" s="317"/>
      <c r="B232" s="317"/>
      <c r="C232" s="577"/>
      <c r="D232" s="577"/>
      <c r="E232" s="577"/>
      <c r="F232" s="317"/>
      <c r="G232" s="317"/>
    </row>
    <row r="233" spans="1:7" ht="18">
      <c r="A233" s="317"/>
      <c r="B233" s="317"/>
      <c r="C233" s="577"/>
      <c r="D233" s="577"/>
      <c r="E233" s="577"/>
      <c r="F233" s="317"/>
      <c r="G233" s="317"/>
    </row>
    <row r="234" spans="1:7" ht="18">
      <c r="A234" s="317"/>
      <c r="B234" s="317"/>
      <c r="C234" s="577"/>
      <c r="D234" s="577"/>
      <c r="E234" s="577"/>
      <c r="F234" s="317"/>
      <c r="G234" s="317"/>
    </row>
    <row r="235" spans="1:7" ht="18">
      <c r="A235" s="317"/>
      <c r="B235" s="317"/>
      <c r="C235" s="577"/>
      <c r="D235" s="577"/>
      <c r="E235" s="577"/>
      <c r="F235" s="317"/>
      <c r="G235" s="317"/>
    </row>
    <row r="236" spans="1:7" ht="18">
      <c r="A236" s="317"/>
      <c r="B236" s="317"/>
      <c r="C236" s="577"/>
      <c r="D236" s="577"/>
      <c r="E236" s="577"/>
      <c r="F236" s="317"/>
      <c r="G236" s="317"/>
    </row>
    <row r="237" spans="1:7" ht="18">
      <c r="A237" s="317"/>
      <c r="B237" s="317"/>
      <c r="C237" s="577"/>
      <c r="D237" s="577"/>
      <c r="E237" s="577"/>
      <c r="F237" s="317"/>
      <c r="G237" s="317"/>
    </row>
    <row r="238" spans="1:7" ht="18">
      <c r="A238" s="317"/>
      <c r="B238" s="317"/>
      <c r="C238" s="577"/>
      <c r="D238" s="577"/>
      <c r="E238" s="577"/>
      <c r="F238" s="317"/>
      <c r="G238" s="317"/>
    </row>
    <row r="239" spans="1:7" ht="18">
      <c r="A239" s="317"/>
      <c r="B239" s="317"/>
      <c r="C239" s="577"/>
      <c r="D239" s="577"/>
      <c r="E239" s="577"/>
      <c r="F239" s="317"/>
      <c r="G239" s="317"/>
    </row>
    <row r="240" spans="1:7" ht="18">
      <c r="A240" s="317"/>
      <c r="B240" s="317"/>
      <c r="C240" s="577"/>
      <c r="D240" s="577"/>
      <c r="E240" s="577"/>
      <c r="F240" s="317"/>
      <c r="G240" s="317"/>
    </row>
    <row r="241" spans="1:7" ht="18">
      <c r="A241" s="317"/>
      <c r="B241" s="317"/>
      <c r="C241" s="577"/>
      <c r="D241" s="577"/>
      <c r="E241" s="577"/>
      <c r="F241" s="317"/>
      <c r="G241" s="317"/>
    </row>
    <row r="242" spans="1:7" ht="18">
      <c r="A242" s="317"/>
      <c r="B242" s="317"/>
      <c r="C242" s="577"/>
      <c r="D242" s="577"/>
      <c r="E242" s="577"/>
      <c r="F242" s="317"/>
      <c r="G242" s="317"/>
    </row>
    <row r="243" spans="1:7" ht="18">
      <c r="A243" s="317"/>
      <c r="B243" s="317"/>
      <c r="C243" s="577"/>
      <c r="D243" s="577"/>
      <c r="E243" s="577"/>
      <c r="F243" s="317"/>
      <c r="G243" s="317"/>
    </row>
    <row r="244" spans="1:7" ht="18">
      <c r="A244" s="317"/>
      <c r="B244" s="317"/>
      <c r="C244" s="577"/>
      <c r="D244" s="577"/>
      <c r="E244" s="577"/>
      <c r="F244" s="317"/>
      <c r="G244" s="317"/>
    </row>
    <row r="245" spans="1:7" ht="18">
      <c r="A245" s="317"/>
      <c r="B245" s="317"/>
      <c r="C245" s="577"/>
      <c r="D245" s="577"/>
      <c r="E245" s="577"/>
      <c r="F245" s="317"/>
      <c r="G245" s="317"/>
    </row>
    <row r="246" spans="1:7" ht="18">
      <c r="A246" s="317"/>
      <c r="B246" s="317"/>
      <c r="C246" s="577"/>
      <c r="D246" s="577"/>
      <c r="E246" s="577"/>
      <c r="F246" s="317"/>
      <c r="G246" s="317"/>
    </row>
    <row r="247" spans="1:7" ht="18">
      <c r="A247" s="317"/>
      <c r="B247" s="317"/>
      <c r="C247" s="577"/>
      <c r="D247" s="577"/>
      <c r="E247" s="577"/>
      <c r="F247" s="317"/>
      <c r="G247" s="317"/>
    </row>
    <row r="248" spans="1:7" ht="18">
      <c r="A248" s="317"/>
      <c r="B248" s="317"/>
      <c r="C248" s="577"/>
      <c r="D248" s="577"/>
      <c r="E248" s="577"/>
      <c r="F248" s="317"/>
      <c r="G248" s="317"/>
    </row>
    <row r="249" spans="1:7" ht="18">
      <c r="A249" s="317"/>
      <c r="B249" s="317"/>
      <c r="C249" s="577"/>
      <c r="D249" s="577"/>
      <c r="E249" s="577"/>
      <c r="F249" s="317"/>
      <c r="G249" s="317"/>
    </row>
    <row r="250" spans="1:7" ht="18">
      <c r="A250" s="317"/>
      <c r="B250" s="317"/>
      <c r="C250" s="577"/>
      <c r="D250" s="577"/>
      <c r="E250" s="577"/>
      <c r="F250" s="317"/>
      <c r="G250" s="317"/>
    </row>
    <row r="251" spans="1:7" ht="18">
      <c r="A251" s="317"/>
      <c r="B251" s="317"/>
      <c r="C251" s="577"/>
      <c r="D251" s="577"/>
      <c r="E251" s="577"/>
      <c r="F251" s="317"/>
      <c r="G251" s="317"/>
    </row>
    <row r="252" spans="1:7" ht="18">
      <c r="A252" s="317"/>
      <c r="B252" s="317"/>
      <c r="C252" s="577"/>
      <c r="D252" s="577"/>
      <c r="E252" s="577"/>
      <c r="F252" s="317"/>
      <c r="G252" s="317"/>
    </row>
    <row r="253" spans="1:7" ht="18">
      <c r="A253" s="317"/>
      <c r="B253" s="317"/>
      <c r="C253" s="577"/>
      <c r="D253" s="577"/>
      <c r="E253" s="577"/>
      <c r="F253" s="317"/>
      <c r="G253" s="317"/>
    </row>
    <row r="254" spans="1:7" ht="18">
      <c r="A254" s="317"/>
      <c r="B254" s="317"/>
      <c r="C254" s="577"/>
      <c r="D254" s="577"/>
      <c r="E254" s="577"/>
      <c r="F254" s="317"/>
      <c r="G254" s="317"/>
    </row>
    <row r="255" spans="1:7" ht="18">
      <c r="A255" s="317"/>
      <c r="B255" s="317"/>
      <c r="C255" s="577"/>
      <c r="D255" s="577"/>
      <c r="E255" s="577"/>
      <c r="F255" s="317"/>
      <c r="G255" s="317"/>
    </row>
    <row r="256" spans="1:7" ht="18">
      <c r="A256" s="317"/>
      <c r="B256" s="317"/>
      <c r="C256" s="577"/>
      <c r="D256" s="577"/>
      <c r="E256" s="577"/>
      <c r="F256" s="317"/>
      <c r="G256" s="317"/>
    </row>
    <row r="257" spans="1:7" ht="18">
      <c r="A257" s="317"/>
      <c r="B257" s="317"/>
      <c r="C257" s="577"/>
      <c r="D257" s="577"/>
      <c r="E257" s="577"/>
      <c r="F257" s="317"/>
      <c r="G257" s="317"/>
    </row>
    <row r="258" spans="1:7" ht="18">
      <c r="A258" s="317"/>
      <c r="B258" s="317"/>
      <c r="C258" s="577"/>
      <c r="D258" s="577"/>
      <c r="E258" s="577"/>
      <c r="F258" s="317"/>
      <c r="G258" s="317"/>
    </row>
    <row r="259" spans="1:7" ht="18">
      <c r="A259" s="317"/>
      <c r="B259" s="317"/>
      <c r="C259" s="577"/>
      <c r="D259" s="577"/>
      <c r="E259" s="577"/>
      <c r="F259" s="317"/>
      <c r="G259" s="317"/>
    </row>
    <row r="260" spans="1:7" ht="18">
      <c r="A260" s="317"/>
      <c r="B260" s="317"/>
      <c r="C260" s="577"/>
      <c r="D260" s="577"/>
      <c r="E260" s="577"/>
      <c r="F260" s="317"/>
      <c r="G260" s="317"/>
    </row>
    <row r="261" spans="1:7" ht="18">
      <c r="A261" s="317"/>
      <c r="B261" s="317"/>
      <c r="C261" s="577"/>
      <c r="D261" s="577"/>
      <c r="E261" s="577"/>
      <c r="F261" s="317"/>
      <c r="G261" s="317"/>
    </row>
    <row r="262" spans="1:7" ht="18">
      <c r="A262" s="317"/>
      <c r="B262" s="317"/>
      <c r="C262" s="577"/>
      <c r="D262" s="577"/>
      <c r="E262" s="577"/>
      <c r="F262" s="317"/>
      <c r="G262" s="317"/>
    </row>
    <row r="263" spans="1:7" ht="18">
      <c r="A263" s="317"/>
      <c r="B263" s="317"/>
      <c r="C263" s="577"/>
      <c r="D263" s="577"/>
      <c r="E263" s="577"/>
      <c r="F263" s="317"/>
      <c r="G263" s="317"/>
    </row>
    <row r="264" spans="1:7" ht="18">
      <c r="A264" s="317"/>
      <c r="B264" s="317"/>
      <c r="C264" s="577"/>
      <c r="D264" s="577"/>
      <c r="E264" s="577"/>
      <c r="F264" s="317"/>
      <c r="G264" s="317"/>
    </row>
    <row r="265" spans="1:7" ht="18">
      <c r="A265" s="317"/>
      <c r="B265" s="317"/>
      <c r="C265" s="577"/>
      <c r="D265" s="577"/>
      <c r="E265" s="577"/>
      <c r="F265" s="317"/>
      <c r="G265" s="317"/>
    </row>
    <row r="266" spans="1:7" ht="18">
      <c r="A266" s="317"/>
      <c r="B266" s="317"/>
      <c r="C266" s="577"/>
      <c r="D266" s="577"/>
      <c r="E266" s="577"/>
      <c r="F266" s="317"/>
      <c r="G266" s="317"/>
    </row>
    <row r="267" spans="1:7" ht="18">
      <c r="A267" s="317"/>
      <c r="B267" s="317"/>
      <c r="C267" s="577"/>
      <c r="D267" s="577"/>
      <c r="E267" s="577"/>
      <c r="F267" s="317"/>
      <c r="G267" s="317"/>
    </row>
    <row r="268" spans="1:7" ht="18">
      <c r="A268" s="317"/>
      <c r="B268" s="317"/>
      <c r="C268" s="577"/>
      <c r="D268" s="577"/>
      <c r="E268" s="577"/>
      <c r="F268" s="317"/>
      <c r="G268" s="317"/>
    </row>
    <row r="269" spans="1:7" ht="18">
      <c r="A269" s="317"/>
      <c r="B269" s="317"/>
      <c r="C269" s="577"/>
      <c r="D269" s="577"/>
      <c r="E269" s="577"/>
      <c r="F269" s="317"/>
      <c r="G269" s="317"/>
    </row>
    <row r="270" spans="1:7" ht="18">
      <c r="A270" s="317"/>
      <c r="B270" s="317"/>
      <c r="C270" s="577"/>
      <c r="D270" s="577"/>
      <c r="E270" s="577"/>
      <c r="F270" s="317"/>
      <c r="G270" s="317"/>
    </row>
    <row r="271" spans="1:7" ht="18">
      <c r="A271" s="317"/>
      <c r="B271" s="317"/>
      <c r="C271" s="577"/>
      <c r="D271" s="577"/>
      <c r="E271" s="577"/>
      <c r="F271" s="317"/>
      <c r="G271" s="317"/>
    </row>
    <row r="272" spans="1:7" ht="18">
      <c r="A272" s="317"/>
      <c r="B272" s="317"/>
      <c r="C272" s="577"/>
      <c r="D272" s="577"/>
      <c r="E272" s="577"/>
      <c r="F272" s="317"/>
      <c r="G272" s="317"/>
    </row>
    <row r="273" spans="1:7" ht="18">
      <c r="A273" s="317"/>
      <c r="B273" s="317"/>
      <c r="C273" s="577"/>
      <c r="D273" s="577"/>
      <c r="E273" s="577"/>
      <c r="F273" s="317"/>
      <c r="G273" s="317"/>
    </row>
    <row r="274" spans="1:7" ht="18">
      <c r="A274" s="317"/>
      <c r="B274" s="317"/>
      <c r="C274" s="577"/>
      <c r="D274" s="577"/>
      <c r="E274" s="577"/>
      <c r="F274" s="317"/>
      <c r="G274" s="317"/>
    </row>
    <row r="275" spans="1:7" ht="18">
      <c r="A275" s="317"/>
      <c r="B275" s="317"/>
      <c r="C275" s="577"/>
      <c r="D275" s="577"/>
      <c r="E275" s="577"/>
      <c r="F275" s="317"/>
      <c r="G275" s="317"/>
    </row>
    <row r="276" spans="1:7" ht="18">
      <c r="A276" s="317"/>
      <c r="B276" s="317"/>
      <c r="C276" s="577"/>
      <c r="D276" s="577"/>
      <c r="E276" s="577"/>
      <c r="F276" s="317"/>
      <c r="G276" s="317"/>
    </row>
    <row r="277" spans="1:7" ht="18">
      <c r="A277" s="317"/>
      <c r="B277" s="317"/>
      <c r="C277" s="577"/>
      <c r="D277" s="577"/>
      <c r="E277" s="577"/>
      <c r="F277" s="317"/>
      <c r="G277" s="317"/>
    </row>
    <row r="278" spans="1:7" ht="18">
      <c r="A278" s="317"/>
      <c r="B278" s="317"/>
      <c r="C278" s="577"/>
      <c r="D278" s="577"/>
      <c r="E278" s="577"/>
      <c r="F278" s="317"/>
      <c r="G278" s="317"/>
    </row>
    <row r="279" spans="1:7" ht="18">
      <c r="A279" s="317"/>
      <c r="B279" s="317"/>
      <c r="C279" s="577"/>
      <c r="D279" s="577"/>
      <c r="E279" s="577"/>
      <c r="F279" s="317"/>
      <c r="G279" s="317"/>
    </row>
    <row r="280" spans="1:7" ht="18">
      <c r="A280" s="317"/>
      <c r="B280" s="317"/>
      <c r="C280" s="577"/>
      <c r="D280" s="577"/>
      <c r="E280" s="577"/>
      <c r="F280" s="317"/>
      <c r="G280" s="317"/>
    </row>
    <row r="281" spans="1:7" ht="18">
      <c r="A281" s="317"/>
      <c r="B281" s="317"/>
      <c r="C281" s="577"/>
      <c r="D281" s="577"/>
      <c r="E281" s="577"/>
      <c r="F281" s="317"/>
      <c r="G281" s="31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  <row r="994" spans="1:7">
      <c r="A994" s="377"/>
      <c r="B994" s="377"/>
      <c r="C994" s="377"/>
      <c r="D994" s="377"/>
      <c r="E994" s="377"/>
      <c r="F994" s="377"/>
      <c r="G994" s="377"/>
    </row>
    <row r="995" spans="1:7">
      <c r="A995" s="377"/>
      <c r="B995" s="377"/>
      <c r="C995" s="377"/>
      <c r="D995" s="377"/>
      <c r="E995" s="377"/>
      <c r="F995" s="377"/>
      <c r="G995" s="377"/>
    </row>
    <row r="996" spans="1:7">
      <c r="A996" s="377"/>
      <c r="B996" s="377"/>
      <c r="C996" s="377"/>
      <c r="D996" s="377"/>
      <c r="E996" s="377"/>
      <c r="F996" s="377"/>
      <c r="G996" s="377"/>
    </row>
    <row r="997" spans="1:7">
      <c r="A997" s="377"/>
      <c r="B997" s="377"/>
      <c r="C997" s="377"/>
      <c r="D997" s="377"/>
      <c r="E997" s="377"/>
      <c r="F997" s="377"/>
      <c r="G997" s="377"/>
    </row>
    <row r="998" spans="1:7">
      <c r="A998" s="377"/>
      <c r="B998" s="377"/>
      <c r="C998" s="377"/>
      <c r="D998" s="377"/>
      <c r="E998" s="377"/>
      <c r="F998" s="377"/>
      <c r="G998" s="377"/>
    </row>
    <row r="999" spans="1:7">
      <c r="A999" s="377"/>
      <c r="B999" s="377"/>
      <c r="C999" s="377"/>
      <c r="D999" s="377"/>
      <c r="E999" s="377"/>
      <c r="F999" s="377"/>
      <c r="G999" s="377"/>
    </row>
    <row r="1000" spans="1:7">
      <c r="A1000" s="377"/>
      <c r="B1000" s="377"/>
      <c r="C1000" s="377"/>
      <c r="D1000" s="377"/>
      <c r="E1000" s="377"/>
      <c r="F1000" s="377"/>
      <c r="G1000" s="377"/>
    </row>
    <row r="1001" spans="1:7">
      <c r="A1001" s="377"/>
      <c r="B1001" s="377"/>
      <c r="C1001" s="377"/>
      <c r="D1001" s="377"/>
      <c r="E1001" s="377"/>
      <c r="F1001" s="377"/>
      <c r="G1001" s="377"/>
    </row>
  </sheetData>
  <sheetProtection algorithmName="SHA-512" hashValue="SSCAAq3cCKZUuNrQuGfbbK08v32vis+tNy6bbdacvIrXWMjSZOBHVO8jRHEqZ8XPVqB9KicqVrkJOkJD1zJL7Q==" saltValue="FsUw06lcv0lJGa1y6wq6gA==" spinCount="100000" sheet="1" objects="1" scenarios="1"/>
  <mergeCells count="21">
    <mergeCell ref="B115:D115"/>
    <mergeCell ref="F115:G115"/>
    <mergeCell ref="B116:D116"/>
    <mergeCell ref="F116:G116"/>
    <mergeCell ref="A118:G118"/>
    <mergeCell ref="A68:G68"/>
    <mergeCell ref="A69:G69"/>
    <mergeCell ref="A72:A74"/>
    <mergeCell ref="B72:B74"/>
    <mergeCell ref="C72:C74"/>
    <mergeCell ref="D72:F72"/>
    <mergeCell ref="G72:G74"/>
    <mergeCell ref="F73:F74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7D1E6-3147-4FC2-8A07-1385F60D8B65}">
  <dimension ref="A1:J982"/>
  <sheetViews>
    <sheetView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9" width="8.85546875" style="314"/>
    <col min="10" max="10" width="8.85546875" style="314" customWidth="1"/>
    <col min="11" max="16384" width="8.85546875" style="314"/>
  </cols>
  <sheetData>
    <row r="1" spans="1:7" ht="18">
      <c r="A1" s="523" t="s">
        <v>13</v>
      </c>
      <c r="B1" s="315"/>
      <c r="C1" s="316"/>
      <c r="D1" s="316"/>
      <c r="E1" s="316"/>
      <c r="F1" s="315"/>
      <c r="G1" s="315"/>
    </row>
    <row r="2" spans="1:7" ht="21">
      <c r="A2" s="1259" t="s">
        <v>0</v>
      </c>
      <c r="B2" s="1241"/>
      <c r="C2" s="1241"/>
      <c r="D2" s="1241"/>
      <c r="E2" s="1241"/>
      <c r="F2" s="1241"/>
      <c r="G2" s="1241"/>
    </row>
    <row r="3" spans="1:7" ht="18">
      <c r="A3" s="1260" t="s">
        <v>14</v>
      </c>
      <c r="B3" s="1241"/>
      <c r="C3" s="1241"/>
      <c r="D3" s="1241"/>
      <c r="E3" s="1241"/>
      <c r="F3" s="1241"/>
      <c r="G3" s="1241"/>
    </row>
    <row r="4" spans="1:7" ht="18">
      <c r="A4" s="524"/>
      <c r="B4" s="375"/>
      <c r="C4" s="375"/>
      <c r="D4" s="375"/>
      <c r="E4" s="375"/>
      <c r="F4" s="375"/>
      <c r="G4" s="375"/>
    </row>
    <row r="5" spans="1:7" ht="18.75" thickBot="1">
      <c r="A5" s="317" t="s">
        <v>597</v>
      </c>
      <c r="B5" s="315"/>
      <c r="C5" s="315"/>
      <c r="D5" s="396"/>
      <c r="E5" s="315"/>
      <c r="F5" s="315"/>
      <c r="G5" s="315"/>
    </row>
    <row r="6" spans="1:7" ht="16.5" thickTop="1" thickBot="1">
      <c r="A6" s="1261" t="s">
        <v>16</v>
      </c>
      <c r="B6" s="1261" t="s">
        <v>17</v>
      </c>
      <c r="C6" s="1262" t="s">
        <v>588</v>
      </c>
      <c r="D6" s="1263" t="s">
        <v>574</v>
      </c>
      <c r="E6" s="1242"/>
      <c r="F6" s="1243"/>
      <c r="G6" s="1228" t="s">
        <v>556</v>
      </c>
    </row>
    <row r="7" spans="1:7" ht="35.25" thickTop="1">
      <c r="A7" s="1234"/>
      <c r="B7" s="1234"/>
      <c r="C7" s="1234"/>
      <c r="D7" s="525" t="s">
        <v>21</v>
      </c>
      <c r="E7" s="525" t="s">
        <v>22</v>
      </c>
      <c r="F7" s="1261" t="s">
        <v>23</v>
      </c>
      <c r="G7" s="1234"/>
    </row>
    <row r="8" spans="1:7" ht="18">
      <c r="A8" s="1234"/>
      <c r="B8" s="1234"/>
      <c r="C8" s="1234"/>
      <c r="D8" s="526" t="s">
        <v>24</v>
      </c>
      <c r="E8" s="526" t="s">
        <v>25</v>
      </c>
      <c r="F8" s="1234"/>
      <c r="G8" s="1234"/>
    </row>
    <row r="9" spans="1:7" ht="18.75" thickBot="1">
      <c r="A9" s="527" t="s">
        <v>26</v>
      </c>
      <c r="B9" s="527" t="s">
        <v>27</v>
      </c>
      <c r="C9" s="528" t="s">
        <v>28</v>
      </c>
      <c r="D9" s="528" t="s">
        <v>29</v>
      </c>
      <c r="E9" s="528" t="s">
        <v>30</v>
      </c>
      <c r="F9" s="527" t="s">
        <v>31</v>
      </c>
      <c r="G9" s="527" t="s">
        <v>32</v>
      </c>
    </row>
    <row r="10" spans="1:7" ht="18.75" thickTop="1">
      <c r="A10" s="324" t="s">
        <v>33</v>
      </c>
      <c r="B10" s="325"/>
      <c r="C10" s="326"/>
      <c r="D10" s="326"/>
      <c r="E10" s="326"/>
      <c r="F10" s="380"/>
      <c r="G10" s="327"/>
    </row>
    <row r="11" spans="1:7" ht="18">
      <c r="A11" s="328" t="s">
        <v>34</v>
      </c>
      <c r="B11" s="329"/>
      <c r="C11" s="330"/>
      <c r="D11" s="331"/>
      <c r="E11" s="331"/>
      <c r="F11" s="332"/>
      <c r="G11" s="332"/>
    </row>
    <row r="12" spans="1:7" ht="18">
      <c r="A12" s="333" t="s">
        <v>35</v>
      </c>
      <c r="B12" s="334"/>
      <c r="C12" s="335"/>
      <c r="D12" s="336"/>
      <c r="E12" s="336"/>
      <c r="F12" s="337"/>
      <c r="G12" s="337"/>
    </row>
    <row r="13" spans="1:7" ht="18">
      <c r="A13" s="359" t="s">
        <v>36</v>
      </c>
      <c r="B13" s="360" t="s">
        <v>37</v>
      </c>
      <c r="C13" s="1038">
        <v>0</v>
      </c>
      <c r="D13" s="1038">
        <v>0</v>
      </c>
      <c r="E13" s="179">
        <f>F13-D13</f>
        <v>10118016</v>
      </c>
      <c r="F13" s="337">
        <v>10118016</v>
      </c>
      <c r="G13" s="337">
        <v>10775872</v>
      </c>
    </row>
    <row r="14" spans="1:7" ht="18">
      <c r="A14" s="333" t="s">
        <v>40</v>
      </c>
      <c r="B14" s="360"/>
      <c r="C14" s="180"/>
      <c r="D14" s="181"/>
      <c r="E14" s="179"/>
      <c r="F14" s="182"/>
      <c r="G14" s="182"/>
    </row>
    <row r="15" spans="1:7" ht="18">
      <c r="A15" s="359" t="s">
        <v>41</v>
      </c>
      <c r="B15" s="360" t="s">
        <v>42</v>
      </c>
      <c r="C15" s="180">
        <v>0</v>
      </c>
      <c r="D15" s="180">
        <v>0</v>
      </c>
      <c r="E15" s="179">
        <f t="shared" ref="E15:E30" si="0">F15-D15</f>
        <v>408000</v>
      </c>
      <c r="F15" s="182">
        <v>408000</v>
      </c>
      <c r="G15" s="182">
        <v>408000</v>
      </c>
    </row>
    <row r="16" spans="1:7" ht="18">
      <c r="A16" s="359" t="s">
        <v>43</v>
      </c>
      <c r="B16" s="360" t="s">
        <v>44</v>
      </c>
      <c r="C16" s="180">
        <v>0</v>
      </c>
      <c r="D16" s="180">
        <v>0</v>
      </c>
      <c r="E16" s="179">
        <f t="shared" si="0"/>
        <v>192000</v>
      </c>
      <c r="F16" s="182">
        <v>192000</v>
      </c>
      <c r="G16" s="182">
        <v>216000</v>
      </c>
    </row>
    <row r="17" spans="1:10" ht="18">
      <c r="A17" s="359" t="s">
        <v>45</v>
      </c>
      <c r="B17" s="360" t="s">
        <v>46</v>
      </c>
      <c r="C17" s="180">
        <v>0</v>
      </c>
      <c r="D17" s="180">
        <v>0</v>
      </c>
      <c r="E17" s="179">
        <f t="shared" si="0"/>
        <v>192000</v>
      </c>
      <c r="F17" s="182">
        <v>192000</v>
      </c>
      <c r="G17" s="182">
        <v>216000</v>
      </c>
    </row>
    <row r="18" spans="1:10" ht="18">
      <c r="A18" s="359" t="s">
        <v>47</v>
      </c>
      <c r="B18" s="360" t="s">
        <v>48</v>
      </c>
      <c r="C18" s="180">
        <v>0</v>
      </c>
      <c r="D18" s="180">
        <v>0</v>
      </c>
      <c r="E18" s="179">
        <f t="shared" si="0"/>
        <v>102000</v>
      </c>
      <c r="F18" s="182">
        <v>102000</v>
      </c>
      <c r="G18" s="182">
        <v>119000</v>
      </c>
    </row>
    <row r="19" spans="1:10" ht="18">
      <c r="A19" s="359" t="s">
        <v>49</v>
      </c>
      <c r="B19" s="360" t="s">
        <v>50</v>
      </c>
      <c r="C19" s="180">
        <v>0</v>
      </c>
      <c r="D19" s="180">
        <v>0</v>
      </c>
      <c r="E19" s="179">
        <f t="shared" si="0"/>
        <v>85000</v>
      </c>
      <c r="F19" s="182">
        <v>85000</v>
      </c>
      <c r="G19" s="182">
        <v>85000</v>
      </c>
    </row>
    <row r="20" spans="1:10" ht="18">
      <c r="A20" s="359" t="s">
        <v>53</v>
      </c>
      <c r="B20" s="360" t="s">
        <v>54</v>
      </c>
      <c r="C20" s="180">
        <v>0</v>
      </c>
      <c r="D20" s="180">
        <v>0</v>
      </c>
      <c r="E20" s="179">
        <f t="shared" si="0"/>
        <v>843168</v>
      </c>
      <c r="F20" s="182">
        <v>843168</v>
      </c>
      <c r="G20" s="182">
        <v>918225</v>
      </c>
    </row>
    <row r="21" spans="1:10" ht="18">
      <c r="A21" s="359" t="s">
        <v>55</v>
      </c>
      <c r="B21" s="360" t="s">
        <v>56</v>
      </c>
      <c r="C21" s="180">
        <v>0</v>
      </c>
      <c r="D21" s="180">
        <v>0</v>
      </c>
      <c r="E21" s="179">
        <f t="shared" si="0"/>
        <v>85000</v>
      </c>
      <c r="F21" s="182">
        <v>85000</v>
      </c>
      <c r="G21" s="182">
        <v>85000</v>
      </c>
    </row>
    <row r="22" spans="1:10" ht="18">
      <c r="A22" s="359" t="s">
        <v>57</v>
      </c>
      <c r="B22" s="360" t="s">
        <v>58</v>
      </c>
      <c r="C22" s="180">
        <v>0</v>
      </c>
      <c r="D22" s="180">
        <v>0</v>
      </c>
      <c r="E22" s="179">
        <f t="shared" si="0"/>
        <v>843168</v>
      </c>
      <c r="F22" s="182">
        <v>843168</v>
      </c>
      <c r="G22" s="182">
        <v>879477</v>
      </c>
    </row>
    <row r="23" spans="1:10" ht="18">
      <c r="A23" s="359" t="s">
        <v>557</v>
      </c>
      <c r="B23" s="360" t="s">
        <v>58</v>
      </c>
      <c r="C23" s="180"/>
      <c r="D23" s="181"/>
      <c r="E23" s="179">
        <f t="shared" si="0"/>
        <v>0</v>
      </c>
      <c r="F23" s="182">
        <v>0</v>
      </c>
      <c r="G23" s="182">
        <v>119000</v>
      </c>
    </row>
    <row r="24" spans="1:10" ht="18">
      <c r="A24" s="1039" t="s">
        <v>59</v>
      </c>
      <c r="B24" s="1040"/>
      <c r="C24" s="180"/>
      <c r="D24" s="181"/>
      <c r="E24" s="179">
        <f t="shared" si="0"/>
        <v>0</v>
      </c>
      <c r="F24" s="182"/>
      <c r="G24" s="182"/>
    </row>
    <row r="25" spans="1:10" ht="18">
      <c r="A25" s="1041" t="s">
        <v>60</v>
      </c>
      <c r="B25" s="1040" t="s">
        <v>61</v>
      </c>
      <c r="C25" s="180">
        <v>0</v>
      </c>
      <c r="D25" s="180">
        <v>0</v>
      </c>
      <c r="E25" s="179">
        <f t="shared" si="0"/>
        <v>1214161.9199999999</v>
      </c>
      <c r="F25" s="182">
        <v>1214161.9199999999</v>
      </c>
      <c r="G25" s="182">
        <v>1293104.6399999999</v>
      </c>
    </row>
    <row r="26" spans="1:10" ht="18">
      <c r="A26" s="1041" t="s">
        <v>62</v>
      </c>
      <c r="B26" s="1040" t="s">
        <v>63</v>
      </c>
      <c r="C26" s="180">
        <v>0</v>
      </c>
      <c r="D26" s="180">
        <v>0</v>
      </c>
      <c r="E26" s="179">
        <f t="shared" si="0"/>
        <v>20400</v>
      </c>
      <c r="F26" s="182">
        <v>20400</v>
      </c>
      <c r="G26" s="182">
        <v>40800</v>
      </c>
      <c r="J26" s="314" t="s">
        <v>182</v>
      </c>
    </row>
    <row r="27" spans="1:10" ht="18">
      <c r="A27" s="1041" t="s">
        <v>64</v>
      </c>
      <c r="B27" s="1040" t="s">
        <v>65</v>
      </c>
      <c r="C27" s="180">
        <v>0</v>
      </c>
      <c r="D27" s="180">
        <v>0</v>
      </c>
      <c r="E27" s="179">
        <f t="shared" si="0"/>
        <v>220603.56</v>
      </c>
      <c r="F27" s="182">
        <v>220603.56</v>
      </c>
      <c r="G27" s="182">
        <v>262414.75</v>
      </c>
      <c r="I27" s="314" t="s">
        <v>182</v>
      </c>
    </row>
    <row r="28" spans="1:10" ht="18">
      <c r="A28" s="1041" t="s">
        <v>66</v>
      </c>
      <c r="B28" s="1040" t="s">
        <v>67</v>
      </c>
      <c r="C28" s="180">
        <v>0</v>
      </c>
      <c r="D28" s="180">
        <v>0</v>
      </c>
      <c r="E28" s="179">
        <f t="shared" si="0"/>
        <v>20400</v>
      </c>
      <c r="F28" s="182">
        <v>20400</v>
      </c>
      <c r="G28" s="182">
        <v>20400</v>
      </c>
    </row>
    <row r="29" spans="1:10" ht="18">
      <c r="A29" s="1039" t="s">
        <v>68</v>
      </c>
      <c r="B29" s="1042"/>
      <c r="C29" s="180"/>
      <c r="D29" s="180"/>
      <c r="E29" s="179"/>
      <c r="F29" s="182"/>
      <c r="G29" s="182"/>
    </row>
    <row r="30" spans="1:10" ht="18.75" thickBot="1">
      <c r="A30" s="1041" t="s">
        <v>558</v>
      </c>
      <c r="B30" s="1040" t="s">
        <v>520</v>
      </c>
      <c r="C30" s="247"/>
      <c r="D30" s="247"/>
      <c r="E30" s="179">
        <f t="shared" si="0"/>
        <v>0</v>
      </c>
      <c r="F30" s="1043">
        <v>0</v>
      </c>
      <c r="G30" s="533">
        <v>0</v>
      </c>
    </row>
    <row r="31" spans="1:10" ht="19.5" thickTop="1" thickBot="1">
      <c r="A31" s="1044" t="s">
        <v>71</v>
      </c>
      <c r="B31" s="1045"/>
      <c r="C31" s="183">
        <f>SUM(C13:C28)</f>
        <v>0</v>
      </c>
      <c r="D31" s="183">
        <f>SUM(D13:D28)</f>
        <v>0</v>
      </c>
      <c r="E31" s="184">
        <f t="shared" ref="E31:F31" si="1">SUM(E13:E28)</f>
        <v>14343917.48</v>
      </c>
      <c r="F31" s="184">
        <f t="shared" si="1"/>
        <v>14343917.48</v>
      </c>
      <c r="G31" s="185">
        <f>SUM(G13:G28)</f>
        <v>15438293.390000001</v>
      </c>
    </row>
    <row r="32" spans="1:10" ht="18.75" thickTop="1">
      <c r="A32" s="1046" t="s">
        <v>72</v>
      </c>
      <c r="B32" s="1047"/>
      <c r="C32" s="186"/>
      <c r="D32" s="186"/>
      <c r="E32" s="187"/>
      <c r="F32" s="188"/>
      <c r="G32" s="189"/>
    </row>
    <row r="33" spans="1:10" ht="18">
      <c r="A33" s="359" t="s">
        <v>598</v>
      </c>
      <c r="B33" s="1040" t="s">
        <v>78</v>
      </c>
      <c r="C33" s="180">
        <v>0</v>
      </c>
      <c r="D33" s="180">
        <v>0</v>
      </c>
      <c r="E33" s="180">
        <v>0</v>
      </c>
      <c r="F33" s="190">
        <v>0</v>
      </c>
      <c r="G33" s="182">
        <v>400000</v>
      </c>
    </row>
    <row r="34" spans="1:10" ht="18">
      <c r="A34" s="359" t="s">
        <v>108</v>
      </c>
      <c r="B34" s="1040" t="s">
        <v>109</v>
      </c>
      <c r="C34" s="180"/>
      <c r="D34" s="180"/>
      <c r="E34" s="179"/>
      <c r="F34" s="191"/>
      <c r="G34" s="182"/>
    </row>
    <row r="35" spans="1:10" ht="18">
      <c r="A35" s="541" t="s">
        <v>599</v>
      </c>
      <c r="B35" s="1040"/>
      <c r="C35" s="180">
        <v>0</v>
      </c>
      <c r="D35" s="180">
        <v>0</v>
      </c>
      <c r="E35" s="180">
        <v>0</v>
      </c>
      <c r="F35" s="190">
        <v>0</v>
      </c>
      <c r="G35" s="182">
        <v>300000</v>
      </c>
    </row>
    <row r="36" spans="1:10" ht="36.75" thickBot="1">
      <c r="A36" s="539" t="s">
        <v>359</v>
      </c>
      <c r="B36" s="1040"/>
      <c r="C36" s="180">
        <v>0</v>
      </c>
      <c r="D36" s="180">
        <v>0</v>
      </c>
      <c r="E36" s="180">
        <v>0</v>
      </c>
      <c r="F36" s="252">
        <v>0</v>
      </c>
      <c r="G36" s="182">
        <v>300000</v>
      </c>
    </row>
    <row r="37" spans="1:10" ht="19.5" thickTop="1" thickBot="1">
      <c r="A37" s="1044" t="s">
        <v>162</v>
      </c>
      <c r="B37" s="1048"/>
      <c r="C37" s="75">
        <f t="shared" ref="C37:F37" si="2">SUM(C33:C36)</f>
        <v>0</v>
      </c>
      <c r="D37" s="75">
        <f t="shared" si="2"/>
        <v>0</v>
      </c>
      <c r="E37" s="75">
        <f t="shared" si="2"/>
        <v>0</v>
      </c>
      <c r="F37" s="75">
        <f t="shared" si="2"/>
        <v>0</v>
      </c>
      <c r="G37" s="77">
        <f>SUM(G33:G36)</f>
        <v>1000000</v>
      </c>
    </row>
    <row r="38" spans="1:10" ht="18.75" thickTop="1">
      <c r="A38" s="1049" t="s">
        <v>163</v>
      </c>
      <c r="B38" s="1050"/>
      <c r="C38" s="192"/>
      <c r="D38" s="192"/>
      <c r="E38" s="192"/>
      <c r="F38" s="193"/>
      <c r="G38" s="194"/>
    </row>
    <row r="39" spans="1:10" ht="18.75" thickBot="1">
      <c r="A39" s="1051" t="s">
        <v>507</v>
      </c>
      <c r="B39" s="1052" t="s">
        <v>251</v>
      </c>
      <c r="C39" s="180">
        <v>0</v>
      </c>
      <c r="D39" s="180">
        <v>0</v>
      </c>
      <c r="E39" s="180">
        <v>0</v>
      </c>
      <c r="F39" s="195">
        <v>100000000</v>
      </c>
      <c r="G39" s="195">
        <v>50000000</v>
      </c>
      <c r="I39" s="314">
        <f>3000000*0.35</f>
        <v>1050000</v>
      </c>
      <c r="J39" s="314">
        <f>3000000-I39</f>
        <v>1950000</v>
      </c>
    </row>
    <row r="40" spans="1:10" ht="19.5" thickTop="1" thickBot="1">
      <c r="A40" s="351" t="s">
        <v>171</v>
      </c>
      <c r="B40" s="367"/>
      <c r="C40" s="184">
        <f t="shared" ref="C40:F40" si="3">SUM(C39:C39)</f>
        <v>0</v>
      </c>
      <c r="D40" s="184">
        <f t="shared" si="3"/>
        <v>0</v>
      </c>
      <c r="E40" s="184">
        <f t="shared" si="3"/>
        <v>0</v>
      </c>
      <c r="F40" s="184">
        <f t="shared" si="3"/>
        <v>100000000</v>
      </c>
      <c r="G40" s="184">
        <f>SUM(G39:G39)</f>
        <v>50000000</v>
      </c>
    </row>
    <row r="41" spans="1:10" ht="19.5" thickTop="1" thickBot="1">
      <c r="A41" s="351" t="s">
        <v>181</v>
      </c>
      <c r="B41" s="367"/>
      <c r="C41" s="184">
        <f>C31+C40</f>
        <v>0</v>
      </c>
      <c r="D41" s="184">
        <f>D31+D40</f>
        <v>0</v>
      </c>
      <c r="E41" s="184">
        <f>E31+E40</f>
        <v>14343917.48</v>
      </c>
      <c r="F41" s="184">
        <f>F31+F40</f>
        <v>114343917.48</v>
      </c>
      <c r="G41" s="184">
        <f>G31+G40+G37</f>
        <v>66438293.390000001</v>
      </c>
    </row>
    <row r="42" spans="1:10" ht="18.75" thickTop="1">
      <c r="A42" s="317"/>
      <c r="B42" s="317"/>
      <c r="C42" s="317"/>
      <c r="D42" s="317"/>
      <c r="E42" s="317"/>
      <c r="F42" s="317"/>
      <c r="G42" s="317"/>
    </row>
    <row r="43" spans="1:10" ht="18">
      <c r="A43" s="317"/>
      <c r="B43" s="318"/>
      <c r="C43" s="317"/>
      <c r="D43" s="317"/>
      <c r="E43" s="317"/>
      <c r="F43" s="317"/>
      <c r="G43" s="1053"/>
    </row>
    <row r="44" spans="1:10" ht="18">
      <c r="A44" s="317"/>
      <c r="B44" s="317"/>
      <c r="C44" s="317"/>
      <c r="D44" s="317"/>
      <c r="E44" s="317"/>
      <c r="F44" s="317"/>
      <c r="G44" s="1053"/>
    </row>
    <row r="45" spans="1:10" ht="18">
      <c r="A45" s="317"/>
      <c r="B45" s="317"/>
      <c r="C45" s="317"/>
      <c r="D45" s="317"/>
      <c r="E45" s="317"/>
      <c r="F45" s="317"/>
      <c r="G45" s="1053"/>
    </row>
    <row r="46" spans="1:10" ht="18">
      <c r="A46" s="317"/>
      <c r="B46" s="317"/>
      <c r="C46" s="317"/>
      <c r="D46" s="317"/>
      <c r="E46" s="317"/>
      <c r="F46" s="317"/>
      <c r="G46" s="1053"/>
    </row>
    <row r="47" spans="1:10" ht="18">
      <c r="A47" s="317"/>
      <c r="B47" s="317"/>
      <c r="C47" s="317"/>
      <c r="D47" s="317"/>
      <c r="E47" s="317"/>
      <c r="F47" s="317"/>
      <c r="G47" s="1053"/>
    </row>
    <row r="48" spans="1:10" ht="18">
      <c r="A48" s="317"/>
      <c r="B48" s="317"/>
      <c r="C48" s="317"/>
      <c r="D48" s="317"/>
      <c r="E48" s="317"/>
      <c r="F48" s="317"/>
      <c r="G48" s="317"/>
    </row>
    <row r="49" spans="1:7" ht="18">
      <c r="A49" s="317"/>
      <c r="B49" s="317"/>
      <c r="C49" s="317"/>
      <c r="D49" s="317"/>
      <c r="E49" s="317"/>
      <c r="F49" s="317"/>
      <c r="G49" s="317"/>
    </row>
    <row r="50" spans="1:7" ht="18">
      <c r="A50" s="309"/>
      <c r="B50" s="1239"/>
      <c r="C50" s="1236"/>
      <c r="D50" s="1236"/>
      <c r="E50" s="369"/>
      <c r="F50" s="1264"/>
      <c r="G50" s="1241"/>
    </row>
    <row r="51" spans="1:7" ht="18">
      <c r="A51" s="371"/>
      <c r="B51" s="1235"/>
      <c r="C51" s="1236"/>
      <c r="D51" s="1236"/>
      <c r="E51" s="372"/>
      <c r="F51" s="1265"/>
      <c r="G51" s="1241"/>
    </row>
    <row r="52" spans="1:7" ht="18">
      <c r="A52" s="317"/>
      <c r="B52" s="317"/>
      <c r="C52" s="317"/>
      <c r="D52" s="317"/>
      <c r="E52" s="317"/>
      <c r="F52" s="317"/>
      <c r="G52" s="317"/>
    </row>
    <row r="53" spans="1:7" ht="18">
      <c r="A53" s="317"/>
      <c r="B53" s="317"/>
      <c r="C53" s="317"/>
      <c r="D53" s="317"/>
      <c r="E53" s="317"/>
      <c r="F53" s="317"/>
      <c r="G53" s="317"/>
    </row>
    <row r="54" spans="1:7" ht="18">
      <c r="A54" s="317"/>
      <c r="B54" s="317"/>
      <c r="C54" s="317"/>
      <c r="D54" s="317"/>
      <c r="E54" s="317"/>
      <c r="F54" s="317"/>
      <c r="G54" s="317"/>
    </row>
    <row r="55" spans="1:7" ht="18">
      <c r="A55" s="317"/>
      <c r="B55" s="317"/>
      <c r="C55" s="317"/>
      <c r="D55" s="317"/>
      <c r="E55" s="317"/>
      <c r="F55" s="317"/>
      <c r="G55" s="317"/>
    </row>
    <row r="56" spans="1:7" ht="18">
      <c r="A56" s="317"/>
      <c r="B56" s="317"/>
      <c r="C56" s="317"/>
      <c r="D56" s="317"/>
      <c r="E56" s="317"/>
      <c r="F56" s="317"/>
      <c r="G56" s="317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/>
      <c r="B58" s="317"/>
      <c r="C58" s="317"/>
      <c r="D58" s="317"/>
      <c r="E58" s="317"/>
      <c r="F58" s="317"/>
      <c r="G58" s="317"/>
    </row>
    <row r="59" spans="1:7" ht="18">
      <c r="A59" s="317" t="s">
        <v>183</v>
      </c>
      <c r="B59" s="317" t="s">
        <v>184</v>
      </c>
      <c r="C59" s="317"/>
      <c r="D59" s="317"/>
      <c r="E59" s="317"/>
      <c r="F59" s="317" t="s">
        <v>185</v>
      </c>
      <c r="G59" s="1053"/>
    </row>
    <row r="60" spans="1:7" ht="18">
      <c r="A60" s="317"/>
      <c r="B60" s="317"/>
      <c r="C60" s="317"/>
      <c r="D60" s="317"/>
      <c r="E60" s="317"/>
      <c r="F60" s="317"/>
      <c r="G60" s="1053"/>
    </row>
    <row r="61" spans="1:7" ht="18">
      <c r="A61" s="317"/>
      <c r="B61" s="317"/>
      <c r="C61" s="317"/>
      <c r="D61" s="317"/>
      <c r="E61" s="317"/>
      <c r="F61" s="317"/>
      <c r="G61" s="1053"/>
    </row>
    <row r="62" spans="1:7" ht="18">
      <c r="A62" s="317"/>
      <c r="B62" s="317"/>
      <c r="C62" s="317"/>
      <c r="D62" s="317"/>
      <c r="E62" s="317"/>
      <c r="F62" s="317"/>
      <c r="G62" s="1053"/>
    </row>
    <row r="63" spans="1:7" ht="18">
      <c r="A63" s="317"/>
      <c r="B63" s="317"/>
      <c r="C63" s="317"/>
      <c r="D63" s="317"/>
      <c r="E63" s="317"/>
      <c r="F63" s="317"/>
      <c r="G63" s="1053"/>
    </row>
    <row r="64" spans="1:7" ht="18">
      <c r="A64" s="317"/>
      <c r="B64" s="317"/>
      <c r="C64" s="317"/>
      <c r="D64" s="317"/>
      <c r="E64" s="317"/>
      <c r="F64" s="317"/>
      <c r="G64" s="317"/>
    </row>
    <row r="65" spans="1:7" ht="18">
      <c r="A65" s="317"/>
      <c r="B65" s="317"/>
      <c r="C65" s="317"/>
      <c r="D65" s="317"/>
      <c r="E65" s="317"/>
      <c r="F65" s="317"/>
      <c r="G65" s="317"/>
    </row>
    <row r="66" spans="1:7" ht="18">
      <c r="A66" s="309" t="s">
        <v>186</v>
      </c>
      <c r="B66" s="1239" t="s">
        <v>187</v>
      </c>
      <c r="C66" s="1236"/>
      <c r="D66" s="1236"/>
      <c r="E66" s="369"/>
      <c r="F66" s="1264" t="s">
        <v>188</v>
      </c>
      <c r="G66" s="1241"/>
    </row>
    <row r="67" spans="1:7" ht="36">
      <c r="A67" s="1054" t="s">
        <v>600</v>
      </c>
      <c r="B67" s="1295" t="s">
        <v>190</v>
      </c>
      <c r="C67" s="1296"/>
      <c r="D67" s="1296"/>
      <c r="E67" s="372"/>
      <c r="F67" s="1303" t="s">
        <v>191</v>
      </c>
      <c r="G67" s="1298"/>
    </row>
    <row r="68" spans="1:7" ht="18">
      <c r="A68" s="317"/>
      <c r="B68" s="317"/>
      <c r="C68" s="317"/>
      <c r="D68" s="317"/>
      <c r="E68" s="317"/>
      <c r="F68" s="317"/>
      <c r="G68" s="317"/>
    </row>
    <row r="69" spans="1:7" ht="18">
      <c r="A69" s="317"/>
      <c r="B69" s="317"/>
      <c r="C69" s="317"/>
      <c r="D69" s="317"/>
      <c r="E69" s="317"/>
      <c r="F69" s="317"/>
      <c r="G69" s="317"/>
    </row>
    <row r="70" spans="1:7" ht="16.5">
      <c r="A70" s="1238" t="s">
        <v>194</v>
      </c>
      <c r="B70" s="1238"/>
      <c r="C70" s="1238"/>
      <c r="D70" s="1238"/>
      <c r="E70" s="1238"/>
      <c r="F70" s="1238"/>
      <c r="G70" s="1238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8">
      <c r="A72" s="317"/>
      <c r="B72" s="317"/>
      <c r="C72" s="317"/>
      <c r="D72" s="317"/>
      <c r="E72" s="317"/>
      <c r="F72" s="317"/>
      <c r="G72" s="317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>
      <c r="A243" s="377"/>
      <c r="B243" s="377"/>
      <c r="C243" s="377"/>
      <c r="D243" s="377"/>
      <c r="E243" s="377"/>
      <c r="F243" s="377"/>
      <c r="G243" s="377"/>
    </row>
    <row r="244" spans="1:7">
      <c r="A244" s="377"/>
      <c r="B244" s="377"/>
      <c r="C244" s="377"/>
      <c r="D244" s="377"/>
      <c r="E244" s="377"/>
      <c r="F244" s="377"/>
      <c r="G244" s="377"/>
    </row>
    <row r="245" spans="1:7">
      <c r="A245" s="377"/>
      <c r="B245" s="377"/>
      <c r="C245" s="377"/>
      <c r="D245" s="377"/>
      <c r="E245" s="377"/>
      <c r="F245" s="377"/>
      <c r="G245" s="377"/>
    </row>
    <row r="246" spans="1:7">
      <c r="A246" s="377"/>
      <c r="B246" s="377"/>
      <c r="C246" s="377"/>
      <c r="D246" s="377"/>
      <c r="E246" s="377"/>
      <c r="F246" s="377"/>
      <c r="G246" s="377"/>
    </row>
    <row r="247" spans="1:7">
      <c r="A247" s="377"/>
      <c r="B247" s="377"/>
      <c r="C247" s="377"/>
      <c r="D247" s="377"/>
      <c r="E247" s="377"/>
      <c r="F247" s="377"/>
      <c r="G247" s="377"/>
    </row>
    <row r="248" spans="1:7">
      <c r="A248" s="377"/>
      <c r="B248" s="377"/>
      <c r="C248" s="377"/>
      <c r="D248" s="377"/>
      <c r="E248" s="377"/>
      <c r="F248" s="377"/>
      <c r="G248" s="377"/>
    </row>
    <row r="249" spans="1:7">
      <c r="A249" s="377"/>
      <c r="B249" s="377"/>
      <c r="C249" s="377"/>
      <c r="D249" s="377"/>
      <c r="E249" s="377"/>
      <c r="F249" s="377"/>
      <c r="G249" s="377"/>
    </row>
    <row r="250" spans="1:7">
      <c r="A250" s="377"/>
      <c r="B250" s="377"/>
      <c r="C250" s="377"/>
      <c r="D250" s="377"/>
      <c r="E250" s="377"/>
      <c r="F250" s="377"/>
      <c r="G250" s="377"/>
    </row>
    <row r="251" spans="1:7">
      <c r="A251" s="377"/>
      <c r="B251" s="377"/>
      <c r="C251" s="377"/>
      <c r="D251" s="377"/>
      <c r="E251" s="377"/>
      <c r="F251" s="377"/>
      <c r="G251" s="377"/>
    </row>
    <row r="252" spans="1:7">
      <c r="A252" s="377"/>
      <c r="B252" s="377"/>
      <c r="C252" s="377"/>
      <c r="D252" s="377"/>
      <c r="E252" s="377"/>
      <c r="F252" s="377"/>
      <c r="G252" s="37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</sheetData>
  <sheetProtection algorithmName="SHA-512" hashValue="0YXxvAlrGm/z/my8KChSWAoYAigCZdHFIbsCj1gexsoZSnEdweeFaC3doXJ5EKU+ye26g7eYH6YAR9Psi/n5VQ==" saltValue="SS6ClgDrOZn2U0OnSOoQMA==" spinCount="100000" sheet="1" objects="1" scenarios="1"/>
  <mergeCells count="17">
    <mergeCell ref="B67:D67"/>
    <mergeCell ref="F67:G67"/>
    <mergeCell ref="A70:G70"/>
    <mergeCell ref="B50:D50"/>
    <mergeCell ref="F50:G50"/>
    <mergeCell ref="B51:D51"/>
    <mergeCell ref="F51:G51"/>
    <mergeCell ref="B66:D66"/>
    <mergeCell ref="F66:G66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B7F70-9779-4283-83B1-67E31D9D0B97}">
  <dimension ref="A1:K994"/>
  <sheetViews>
    <sheetView workbookViewId="0">
      <selection activeCell="A98" sqref="A98:G98"/>
    </sheetView>
  </sheetViews>
  <sheetFormatPr defaultColWidth="8.85546875" defaultRowHeight="15"/>
  <cols>
    <col min="1" max="1" width="50.140625" style="517" customWidth="1"/>
    <col min="2" max="2" width="15.140625" style="517" customWidth="1"/>
    <col min="3" max="6" width="16.5703125" style="517" customWidth="1"/>
    <col min="7" max="7" width="17.85546875" style="517" customWidth="1"/>
    <col min="8" max="10" width="8.85546875" style="314"/>
    <col min="11" max="11" width="11.42578125" style="314" bestFit="1" customWidth="1"/>
    <col min="12" max="16384" width="8.85546875" style="314"/>
  </cols>
  <sheetData>
    <row r="1" spans="1:7" ht="18">
      <c r="A1" s="438" t="s">
        <v>13</v>
      </c>
      <c r="B1" s="439"/>
      <c r="C1" s="440"/>
      <c r="D1" s="440"/>
      <c r="E1" s="440"/>
      <c r="F1" s="439"/>
      <c r="G1" s="439"/>
    </row>
    <row r="2" spans="1:7" ht="21">
      <c r="A2" s="1250" t="s">
        <v>0</v>
      </c>
      <c r="B2" s="1251"/>
      <c r="C2" s="1251"/>
      <c r="D2" s="1251"/>
      <c r="E2" s="1251"/>
      <c r="F2" s="1251"/>
      <c r="G2" s="1251"/>
    </row>
    <row r="3" spans="1:7" ht="18">
      <c r="A3" s="1252" t="s">
        <v>14</v>
      </c>
      <c r="B3" s="1251"/>
      <c r="C3" s="1251"/>
      <c r="D3" s="1251"/>
      <c r="E3" s="1251"/>
      <c r="F3" s="1251"/>
      <c r="G3" s="1251"/>
    </row>
    <row r="4" spans="1:7" ht="18">
      <c r="A4" s="442"/>
      <c r="B4" s="442"/>
      <c r="C4" s="443"/>
      <c r="D4" s="443"/>
      <c r="E4" s="443"/>
      <c r="F4" s="442"/>
      <c r="G4" s="442"/>
    </row>
    <row r="5" spans="1:7" ht="18.75" thickBot="1">
      <c r="A5" s="442" t="s">
        <v>733</v>
      </c>
      <c r="B5" s="442"/>
      <c r="C5" s="443"/>
      <c r="D5" s="1055" t="s">
        <v>508</v>
      </c>
      <c r="E5" s="443"/>
      <c r="F5" s="442"/>
      <c r="G5" s="442"/>
    </row>
    <row r="6" spans="1:7" ht="15.6" customHeight="1" thickTop="1" thickBot="1">
      <c r="A6" s="1253" t="s">
        <v>16</v>
      </c>
      <c r="B6" s="1253" t="s">
        <v>734</v>
      </c>
      <c r="C6" s="1255" t="s">
        <v>677</v>
      </c>
      <c r="D6" s="1256" t="s">
        <v>555</v>
      </c>
      <c r="E6" s="1257"/>
      <c r="F6" s="1258"/>
      <c r="G6" s="1255" t="s">
        <v>735</v>
      </c>
    </row>
    <row r="7" spans="1:7" ht="35.25" thickTop="1">
      <c r="A7" s="1254"/>
      <c r="B7" s="1254"/>
      <c r="C7" s="1254"/>
      <c r="D7" s="445" t="s">
        <v>21</v>
      </c>
      <c r="E7" s="445" t="s">
        <v>22</v>
      </c>
      <c r="F7" s="1253" t="s">
        <v>23</v>
      </c>
      <c r="G7" s="1254"/>
    </row>
    <row r="8" spans="1:7" ht="18">
      <c r="A8" s="1254"/>
      <c r="B8" s="1254"/>
      <c r="C8" s="1254"/>
      <c r="D8" s="446" t="s">
        <v>24</v>
      </c>
      <c r="E8" s="446" t="s">
        <v>25</v>
      </c>
      <c r="F8" s="1254"/>
      <c r="G8" s="1254"/>
    </row>
    <row r="9" spans="1:7" ht="18.75" thickBot="1">
      <c r="A9" s="447" t="s">
        <v>26</v>
      </c>
      <c r="B9" s="447" t="s">
        <v>27</v>
      </c>
      <c r="C9" s="448" t="s">
        <v>28</v>
      </c>
      <c r="D9" s="448" t="s">
        <v>29</v>
      </c>
      <c r="E9" s="448" t="s">
        <v>30</v>
      </c>
      <c r="F9" s="447" t="s">
        <v>31</v>
      </c>
      <c r="G9" s="1056" t="s">
        <v>32</v>
      </c>
    </row>
    <row r="10" spans="1:7" ht="18.75" thickTop="1">
      <c r="A10" s="449" t="s">
        <v>33</v>
      </c>
      <c r="B10" s="450"/>
      <c r="C10" s="1057"/>
      <c r="D10" s="1057"/>
      <c r="E10" s="1057"/>
      <c r="F10" s="698"/>
      <c r="G10" s="452"/>
    </row>
    <row r="11" spans="1:7" ht="18">
      <c r="A11" s="453" t="s">
        <v>34</v>
      </c>
      <c r="B11" s="454"/>
      <c r="C11" s="1058"/>
      <c r="D11" s="1058"/>
      <c r="E11" s="1058"/>
      <c r="F11" s="455"/>
      <c r="G11" s="458"/>
    </row>
    <row r="12" spans="1:7" ht="18">
      <c r="A12" s="459" t="s">
        <v>35</v>
      </c>
      <c r="B12" s="460"/>
      <c r="C12" s="1058"/>
      <c r="D12" s="1058"/>
      <c r="E12" s="1058"/>
      <c r="F12" s="461"/>
      <c r="G12" s="464"/>
    </row>
    <row r="13" spans="1:7" ht="18">
      <c r="A13" s="429" t="s">
        <v>36</v>
      </c>
      <c r="B13" s="511" t="s">
        <v>37</v>
      </c>
      <c r="C13" s="461">
        <v>6605162.1699999999</v>
      </c>
      <c r="D13" s="461">
        <v>3349380</v>
      </c>
      <c r="E13" s="461">
        <f t="shared" ref="E13:E14" si="0">F13-D13</f>
        <v>3878652</v>
      </c>
      <c r="F13" s="464">
        <v>7228032</v>
      </c>
      <c r="G13" s="464">
        <v>7704845</v>
      </c>
    </row>
    <row r="14" spans="1:7" ht="18">
      <c r="A14" s="1059" t="s">
        <v>216</v>
      </c>
      <c r="B14" s="511" t="s">
        <v>39</v>
      </c>
      <c r="C14" s="461">
        <v>5890181.5999999996</v>
      </c>
      <c r="D14" s="461">
        <v>831409</v>
      </c>
      <c r="E14" s="461">
        <f t="shared" si="0"/>
        <v>884591</v>
      </c>
      <c r="F14" s="1060">
        <v>1716000</v>
      </c>
      <c r="G14" s="1060">
        <v>1815165</v>
      </c>
    </row>
    <row r="15" spans="1:7" ht="18">
      <c r="A15" s="459" t="s">
        <v>40</v>
      </c>
      <c r="B15" s="633"/>
      <c r="C15" s="461"/>
      <c r="D15" s="461"/>
      <c r="E15" s="461"/>
      <c r="F15" s="464"/>
      <c r="G15" s="464"/>
    </row>
    <row r="16" spans="1:7" ht="18">
      <c r="A16" s="429" t="s">
        <v>41</v>
      </c>
      <c r="B16" s="511" t="s">
        <v>42</v>
      </c>
      <c r="C16" s="461">
        <v>1254181.8600000001</v>
      </c>
      <c r="D16" s="461">
        <v>303909.09999999998</v>
      </c>
      <c r="E16" s="461">
        <f t="shared" ref="E16:E23" si="1">F16-D16</f>
        <v>368090.9</v>
      </c>
      <c r="F16" s="464">
        <f>768000-96000</f>
        <v>672000</v>
      </c>
      <c r="G16" s="464">
        <f>768000-96000</f>
        <v>672000</v>
      </c>
    </row>
    <row r="17" spans="1:7" ht="18">
      <c r="A17" s="429" t="s">
        <v>43</v>
      </c>
      <c r="B17" s="511" t="s">
        <v>44</v>
      </c>
      <c r="C17" s="461">
        <v>120000</v>
      </c>
      <c r="D17" s="461">
        <v>60000</v>
      </c>
      <c r="E17" s="461">
        <f t="shared" si="1"/>
        <v>60000</v>
      </c>
      <c r="F17" s="464">
        <v>120000</v>
      </c>
      <c r="G17" s="464">
        <v>138000</v>
      </c>
    </row>
    <row r="18" spans="1:7" ht="18">
      <c r="A18" s="429" t="s">
        <v>45</v>
      </c>
      <c r="B18" s="511" t="s">
        <v>46</v>
      </c>
      <c r="C18" s="461">
        <v>120000</v>
      </c>
      <c r="D18" s="461">
        <v>60000</v>
      </c>
      <c r="E18" s="461">
        <f t="shared" si="1"/>
        <v>60000</v>
      </c>
      <c r="F18" s="464">
        <v>120000</v>
      </c>
      <c r="G18" s="464">
        <v>138000</v>
      </c>
    </row>
    <row r="19" spans="1:7" ht="18">
      <c r="A19" s="429" t="s">
        <v>47</v>
      </c>
      <c r="B19" s="511" t="s">
        <v>48</v>
      </c>
      <c r="C19" s="461">
        <v>312000</v>
      </c>
      <c r="D19" s="461">
        <v>150000</v>
      </c>
      <c r="E19" s="461">
        <f t="shared" si="1"/>
        <v>18000</v>
      </c>
      <c r="F19" s="464">
        <f>192000-24000</f>
        <v>168000</v>
      </c>
      <c r="G19" s="464">
        <v>196000</v>
      </c>
    </row>
    <row r="20" spans="1:7" ht="18">
      <c r="A20" s="429" t="s">
        <v>49</v>
      </c>
      <c r="B20" s="511" t="s">
        <v>50</v>
      </c>
      <c r="C20" s="461">
        <v>249500</v>
      </c>
      <c r="D20" s="461">
        <v>0</v>
      </c>
      <c r="E20" s="461">
        <f t="shared" si="1"/>
        <v>160000</v>
      </c>
      <c r="F20" s="464">
        <v>160000</v>
      </c>
      <c r="G20" s="464">
        <v>140000</v>
      </c>
    </row>
    <row r="21" spans="1:7" ht="18">
      <c r="A21" s="429" t="s">
        <v>53</v>
      </c>
      <c r="B21" s="511" t="s">
        <v>54</v>
      </c>
      <c r="C21" s="461">
        <v>1056386</v>
      </c>
      <c r="D21" s="461">
        <v>0</v>
      </c>
      <c r="E21" s="461">
        <f t="shared" si="1"/>
        <v>745336</v>
      </c>
      <c r="F21" s="397">
        <f>797336-52000</f>
        <v>745336</v>
      </c>
      <c r="G21" s="397">
        <v>813206</v>
      </c>
    </row>
    <row r="22" spans="1:7" ht="18">
      <c r="A22" s="429" t="s">
        <v>55</v>
      </c>
      <c r="B22" s="511" t="s">
        <v>56</v>
      </c>
      <c r="C22" s="461">
        <v>263500</v>
      </c>
      <c r="D22" s="461">
        <v>0</v>
      </c>
      <c r="E22" s="461">
        <f t="shared" si="1"/>
        <v>140000</v>
      </c>
      <c r="F22" s="464">
        <f>160000-20000</f>
        <v>140000</v>
      </c>
      <c r="G22" s="464">
        <f>160000-20000</f>
        <v>140000</v>
      </c>
    </row>
    <row r="23" spans="1:7" ht="18">
      <c r="A23" s="429" t="s">
        <v>57</v>
      </c>
      <c r="B23" s="511" t="s">
        <v>58</v>
      </c>
      <c r="C23" s="461">
        <v>914039</v>
      </c>
      <c r="D23" s="461">
        <v>697230</v>
      </c>
      <c r="E23" s="461">
        <f t="shared" si="1"/>
        <v>48106</v>
      </c>
      <c r="F23" s="211">
        <f>797336-52000</f>
        <v>745336</v>
      </c>
      <c r="G23" s="211">
        <v>779140</v>
      </c>
    </row>
    <row r="24" spans="1:7" ht="18">
      <c r="A24" s="429" t="s">
        <v>557</v>
      </c>
      <c r="B24" s="511" t="s">
        <v>58</v>
      </c>
      <c r="C24" s="461">
        <v>0</v>
      </c>
      <c r="D24" s="461">
        <v>0</v>
      </c>
      <c r="E24" s="461"/>
      <c r="F24" s="211"/>
      <c r="G24" s="211">
        <v>196000</v>
      </c>
    </row>
    <row r="25" spans="1:7" ht="18">
      <c r="A25" s="459" t="s">
        <v>59</v>
      </c>
      <c r="B25" s="633"/>
      <c r="C25" s="1061"/>
      <c r="D25" s="461"/>
      <c r="E25" s="1061"/>
      <c r="F25" s="464"/>
      <c r="G25" s="464"/>
    </row>
    <row r="26" spans="1:7" ht="18">
      <c r="A26" s="429" t="s">
        <v>60</v>
      </c>
      <c r="B26" s="511" t="s">
        <v>61</v>
      </c>
      <c r="C26" s="461">
        <v>1499045.84</v>
      </c>
      <c r="D26" s="461">
        <v>501713.6</v>
      </c>
      <c r="E26" s="461">
        <f t="shared" ref="E26:E29" si="2">F26-D26</f>
        <v>571570.24000000011</v>
      </c>
      <c r="F26" s="211">
        <f>1148163.84-74880</f>
        <v>1073283.8400000001</v>
      </c>
      <c r="G26" s="211">
        <v>1561392.72</v>
      </c>
    </row>
    <row r="27" spans="1:7" ht="18">
      <c r="A27" s="429" t="s">
        <v>62</v>
      </c>
      <c r="B27" s="511" t="s">
        <v>63</v>
      </c>
      <c r="C27" s="461">
        <v>62800</v>
      </c>
      <c r="D27" s="461">
        <v>27900</v>
      </c>
      <c r="E27" s="461">
        <f t="shared" si="2"/>
        <v>5700</v>
      </c>
      <c r="F27" s="464">
        <f>38400-4800</f>
        <v>33600</v>
      </c>
      <c r="G27" s="464">
        <v>67200</v>
      </c>
    </row>
    <row r="28" spans="1:7" ht="18">
      <c r="A28" s="429" t="s">
        <v>64</v>
      </c>
      <c r="B28" s="511" t="s">
        <v>65</v>
      </c>
      <c r="C28" s="461">
        <v>233617.83</v>
      </c>
      <c r="D28" s="461">
        <v>107064.7</v>
      </c>
      <c r="E28" s="461">
        <f t="shared" si="2"/>
        <v>80030.060000000012</v>
      </c>
      <c r="F28" s="211">
        <f>199574.76-12480</f>
        <v>187094.76</v>
      </c>
      <c r="G28" s="211">
        <v>220935.63</v>
      </c>
    </row>
    <row r="29" spans="1:7" ht="18">
      <c r="A29" s="710" t="s">
        <v>66</v>
      </c>
      <c r="B29" s="1062" t="s">
        <v>67</v>
      </c>
      <c r="C29" s="497">
        <v>62800</v>
      </c>
      <c r="D29" s="497">
        <v>15200</v>
      </c>
      <c r="E29" s="497">
        <f t="shared" si="2"/>
        <v>18400</v>
      </c>
      <c r="F29" s="1063">
        <f>38400-4800</f>
        <v>33600</v>
      </c>
      <c r="G29" s="1063">
        <f>38400-4800</f>
        <v>33600</v>
      </c>
    </row>
    <row r="30" spans="1:7" ht="18">
      <c r="A30" s="459" t="s">
        <v>68</v>
      </c>
      <c r="B30" s="714"/>
      <c r="C30" s="1064"/>
      <c r="D30" s="1064"/>
      <c r="E30" s="1064"/>
      <c r="F30" s="1065"/>
      <c r="G30" s="1065"/>
    </row>
    <row r="31" spans="1:7" ht="18.75" thickBot="1">
      <c r="A31" s="429" t="s">
        <v>558</v>
      </c>
      <c r="B31" s="490" t="s">
        <v>520</v>
      </c>
      <c r="C31" s="1066">
        <v>0</v>
      </c>
      <c r="D31" s="1066">
        <v>0</v>
      </c>
      <c r="E31" s="1066"/>
      <c r="F31" s="480"/>
      <c r="G31" s="480">
        <f>(G13+G14)/12*10*0.0481927</f>
        <v>382329.15493916662</v>
      </c>
    </row>
    <row r="32" spans="1:7" ht="19.5" thickTop="1" thickBot="1">
      <c r="A32" s="481" t="s">
        <v>71</v>
      </c>
      <c r="B32" s="482"/>
      <c r="C32" s="483">
        <f>SUM(C13:C29)</f>
        <v>18643214.299999997</v>
      </c>
      <c r="D32" s="483">
        <f>SUM(D13:D29)</f>
        <v>6103806.3999999994</v>
      </c>
      <c r="E32" s="483">
        <f>SUM(E13:E29)</f>
        <v>7038476.2000000002</v>
      </c>
      <c r="F32" s="483">
        <f>SUM(F13:F29)</f>
        <v>13142282.6</v>
      </c>
      <c r="G32" s="1067">
        <f>SUM(G13:G31)</f>
        <v>14997813.504939169</v>
      </c>
    </row>
    <row r="33" spans="1:11" ht="18.75" thickTop="1">
      <c r="A33" s="485" t="s">
        <v>72</v>
      </c>
      <c r="B33" s="486"/>
      <c r="C33" s="1068"/>
      <c r="D33" s="1068"/>
      <c r="E33" s="461"/>
      <c r="F33" s="1069"/>
      <c r="G33" s="1070"/>
    </row>
    <row r="34" spans="1:11" ht="18">
      <c r="A34" s="489" t="s">
        <v>75</v>
      </c>
      <c r="B34" s="486" t="s">
        <v>76</v>
      </c>
      <c r="C34" s="461">
        <v>2020475.9</v>
      </c>
      <c r="D34" s="461">
        <v>135122.48000000001</v>
      </c>
      <c r="E34" s="461">
        <f t="shared" ref="E34:E40" si="3">F34-D34</f>
        <v>1364877.52</v>
      </c>
      <c r="F34" s="464">
        <v>1500000</v>
      </c>
      <c r="G34" s="464">
        <v>500000</v>
      </c>
    </row>
    <row r="35" spans="1:11" ht="18">
      <c r="A35" s="489" t="s">
        <v>77</v>
      </c>
      <c r="B35" s="493" t="s">
        <v>78</v>
      </c>
      <c r="C35" s="461">
        <v>50525</v>
      </c>
      <c r="D35" s="461">
        <v>95306</v>
      </c>
      <c r="E35" s="461">
        <f t="shared" si="3"/>
        <v>154694</v>
      </c>
      <c r="F35" s="464">
        <v>250000</v>
      </c>
      <c r="G35" s="464">
        <v>80000</v>
      </c>
    </row>
    <row r="36" spans="1:11" ht="18">
      <c r="A36" s="489" t="s">
        <v>81</v>
      </c>
      <c r="B36" s="465" t="s">
        <v>82</v>
      </c>
      <c r="C36" s="461">
        <v>90974</v>
      </c>
      <c r="D36" s="461">
        <v>165700</v>
      </c>
      <c r="E36" s="461">
        <f t="shared" si="3"/>
        <v>184300</v>
      </c>
      <c r="F36" s="464">
        <v>350000</v>
      </c>
      <c r="G36" s="464">
        <f>120168+7762.66</f>
        <v>127930.66</v>
      </c>
    </row>
    <row r="37" spans="1:11" ht="18">
      <c r="A37" s="489" t="s">
        <v>83</v>
      </c>
      <c r="B37" s="493" t="s">
        <v>84</v>
      </c>
      <c r="C37" s="461">
        <v>60000</v>
      </c>
      <c r="D37" s="460">
        <v>30000</v>
      </c>
      <c r="E37" s="461">
        <f t="shared" si="3"/>
        <v>30000</v>
      </c>
      <c r="F37" s="464">
        <v>60000</v>
      </c>
      <c r="G37" s="464">
        <v>60000</v>
      </c>
    </row>
    <row r="38" spans="1:11" ht="18">
      <c r="A38" s="429" t="s">
        <v>85</v>
      </c>
      <c r="B38" s="465" t="s">
        <v>86</v>
      </c>
      <c r="C38" s="461">
        <v>210739.20000000001</v>
      </c>
      <c r="D38" s="461">
        <v>105369.60000000001</v>
      </c>
      <c r="E38" s="461">
        <f t="shared" si="3"/>
        <v>134630.39999999999</v>
      </c>
      <c r="F38" s="464">
        <v>240000</v>
      </c>
      <c r="G38" s="464">
        <v>240000</v>
      </c>
    </row>
    <row r="39" spans="1:11" ht="18">
      <c r="A39" s="489" t="s">
        <v>509</v>
      </c>
      <c r="B39" s="493" t="s">
        <v>200</v>
      </c>
      <c r="C39" s="461">
        <v>5550303.7400000002</v>
      </c>
      <c r="D39" s="1071">
        <v>584380</v>
      </c>
      <c r="E39" s="461">
        <f t="shared" si="3"/>
        <v>703940</v>
      </c>
      <c r="F39" s="464">
        <v>1288320</v>
      </c>
      <c r="G39" s="464">
        <v>1362240</v>
      </c>
    </row>
    <row r="40" spans="1:11" ht="36.75" thickBot="1">
      <c r="A40" s="495" t="s">
        <v>104</v>
      </c>
      <c r="B40" s="465" t="s">
        <v>105</v>
      </c>
      <c r="C40" s="461">
        <v>50000</v>
      </c>
      <c r="D40" s="461">
        <v>0</v>
      </c>
      <c r="E40" s="461">
        <f t="shared" si="3"/>
        <v>100000</v>
      </c>
      <c r="F40" s="464">
        <v>100000</v>
      </c>
      <c r="G40" s="464">
        <v>100000</v>
      </c>
    </row>
    <row r="41" spans="1:11" ht="19.5" thickTop="1" thickBot="1">
      <c r="A41" s="481" t="s">
        <v>162</v>
      </c>
      <c r="B41" s="503"/>
      <c r="C41" s="483">
        <f>SUM(C34:C40)</f>
        <v>8033017.8399999999</v>
      </c>
      <c r="D41" s="483">
        <f>SUM(D34:D40)</f>
        <v>1115878.08</v>
      </c>
      <c r="E41" s="483">
        <f>SUM(E34:E40)</f>
        <v>2672441.92</v>
      </c>
      <c r="F41" s="483">
        <f>SUM(F34:F40)</f>
        <v>3788320</v>
      </c>
      <c r="G41" s="483">
        <f>SUM(G34:G40)</f>
        <v>2470170.66</v>
      </c>
      <c r="K41" s="484"/>
    </row>
    <row r="42" spans="1:11" ht="19.5" thickTop="1" thickBot="1">
      <c r="A42" s="961"/>
      <c r="B42" s="1072"/>
      <c r="C42" s="461"/>
      <c r="D42" s="461"/>
      <c r="E42" s="461"/>
      <c r="F42" s="479"/>
      <c r="G42" s="464"/>
    </row>
    <row r="43" spans="1:11" ht="19.5" thickTop="1" thickBot="1">
      <c r="A43" s="481" t="s">
        <v>181</v>
      </c>
      <c r="B43" s="503"/>
      <c r="C43" s="483">
        <f t="shared" ref="C43:F43" si="4">C41+C32</f>
        <v>26676232.139999997</v>
      </c>
      <c r="D43" s="483">
        <f t="shared" si="4"/>
        <v>7219684.4799999995</v>
      </c>
      <c r="E43" s="483">
        <f t="shared" si="4"/>
        <v>9710918.120000001</v>
      </c>
      <c r="F43" s="483">
        <f t="shared" si="4"/>
        <v>16930602.600000001</v>
      </c>
      <c r="G43" s="483">
        <f>G41+G32</f>
        <v>17467984.164939169</v>
      </c>
    </row>
    <row r="44" spans="1:11" ht="18.75" thickTop="1">
      <c r="A44" s="515"/>
      <c r="B44" s="515"/>
      <c r="C44" s="1073"/>
      <c r="D44" s="1073"/>
      <c r="E44" s="1073"/>
      <c r="F44" s="515"/>
      <c r="G44" s="515"/>
    </row>
    <row r="45" spans="1:11" ht="18">
      <c r="A45" s="515"/>
      <c r="B45" s="515"/>
      <c r="C45" s="1073"/>
      <c r="D45" s="1073"/>
      <c r="E45" s="1073"/>
      <c r="F45" s="1073"/>
      <c r="G45" s="515"/>
    </row>
    <row r="46" spans="1:11" ht="18">
      <c r="A46" s="515"/>
      <c r="B46" s="515"/>
      <c r="C46" s="1073"/>
      <c r="D46" s="1073"/>
      <c r="E46" s="1073"/>
      <c r="F46" s="1073"/>
      <c r="G46" s="515"/>
    </row>
    <row r="47" spans="1:11" ht="18">
      <c r="A47" s="515"/>
      <c r="B47" s="515"/>
      <c r="C47" s="1073"/>
      <c r="D47" s="1073"/>
      <c r="E47" s="1073"/>
      <c r="F47" s="1073"/>
      <c r="G47" s="515"/>
    </row>
    <row r="48" spans="1:11" ht="18">
      <c r="A48" s="515"/>
      <c r="B48" s="515"/>
      <c r="C48" s="1073"/>
      <c r="D48" s="1073"/>
      <c r="E48" s="1073"/>
      <c r="F48" s="1073"/>
      <c r="G48" s="515"/>
    </row>
    <row r="49" spans="1:7" ht="18">
      <c r="A49" s="515"/>
      <c r="B49" s="515"/>
      <c r="C49" s="1073"/>
      <c r="D49" s="1073"/>
      <c r="E49" s="1073"/>
      <c r="F49" s="1073"/>
      <c r="G49" s="515"/>
    </row>
    <row r="50" spans="1:7" ht="18">
      <c r="A50" s="515"/>
      <c r="B50" s="515"/>
      <c r="C50" s="1073"/>
      <c r="D50" s="1073"/>
      <c r="E50" s="1073"/>
      <c r="F50" s="515"/>
      <c r="G50" s="515"/>
    </row>
    <row r="51" spans="1:7" ht="18">
      <c r="A51" s="515"/>
      <c r="B51" s="515"/>
      <c r="C51" s="1073"/>
      <c r="D51" s="1073"/>
      <c r="E51" s="1073"/>
      <c r="F51" s="515"/>
      <c r="G51" s="515"/>
    </row>
    <row r="52" spans="1:7" ht="18">
      <c r="A52" s="1074"/>
      <c r="B52" s="1306"/>
      <c r="C52" s="1247"/>
      <c r="D52" s="1247"/>
      <c r="E52" s="1075"/>
      <c r="F52" s="1307"/>
      <c r="G52" s="1251"/>
    </row>
    <row r="53" spans="1:7" ht="18">
      <c r="A53" s="1076"/>
      <c r="B53" s="1304"/>
      <c r="C53" s="1247"/>
      <c r="D53" s="1247"/>
      <c r="E53" s="1077"/>
      <c r="F53" s="1305"/>
      <c r="G53" s="1251"/>
    </row>
    <row r="54" spans="1:7" ht="18">
      <c r="A54" s="515"/>
      <c r="B54" s="515"/>
      <c r="C54" s="1073"/>
      <c r="D54" s="1073"/>
      <c r="E54" s="1073"/>
      <c r="F54" s="515"/>
      <c r="G54" s="515"/>
    </row>
    <row r="55" spans="1:7" ht="18">
      <c r="A55" s="1078"/>
      <c r="B55" s="1079"/>
      <c r="C55" s="1080"/>
      <c r="D55" s="1080"/>
      <c r="E55" s="1080"/>
      <c r="F55" s="1080"/>
      <c r="G55" s="1080"/>
    </row>
    <row r="56" spans="1:7" ht="18">
      <c r="A56" s="1078"/>
      <c r="B56" s="1079"/>
      <c r="C56" s="1080"/>
      <c r="D56" s="1080"/>
      <c r="E56" s="1080"/>
      <c r="F56" s="1080"/>
      <c r="G56" s="1080"/>
    </row>
    <row r="57" spans="1:7" ht="18">
      <c r="A57" s="515"/>
      <c r="B57" s="515"/>
      <c r="C57" s="1073"/>
      <c r="D57" s="1073"/>
      <c r="E57" s="1073"/>
      <c r="F57" s="515"/>
      <c r="G57" s="515"/>
    </row>
    <row r="58" spans="1:7" ht="18">
      <c r="A58" s="515"/>
      <c r="B58" s="515"/>
      <c r="C58" s="1073"/>
      <c r="D58" s="1073"/>
      <c r="E58" s="1073"/>
      <c r="F58" s="515"/>
      <c r="G58" s="515"/>
    </row>
    <row r="59" spans="1:7" ht="18">
      <c r="A59" s="515"/>
      <c r="B59" s="515"/>
      <c r="C59" s="1073"/>
      <c r="D59" s="1073"/>
      <c r="E59" s="1073"/>
      <c r="F59" s="515"/>
      <c r="G59" s="515"/>
    </row>
    <row r="60" spans="1:7" ht="18">
      <c r="A60" s="515" t="s">
        <v>183</v>
      </c>
      <c r="B60" s="515" t="s">
        <v>184</v>
      </c>
      <c r="C60" s="1073"/>
      <c r="D60" s="1073"/>
      <c r="E60" s="1073"/>
      <c r="F60" s="1073" t="s">
        <v>185</v>
      </c>
      <c r="G60" s="515"/>
    </row>
    <row r="61" spans="1:7" ht="18">
      <c r="A61" s="515"/>
      <c r="B61" s="515"/>
      <c r="C61" s="1073"/>
      <c r="D61" s="1073"/>
      <c r="E61" s="1073"/>
      <c r="F61" s="1073"/>
      <c r="G61" s="515"/>
    </row>
    <row r="62" spans="1:7" ht="18">
      <c r="A62" s="515"/>
      <c r="B62" s="515"/>
      <c r="C62" s="1073"/>
      <c r="D62" s="1073"/>
      <c r="E62" s="1073"/>
      <c r="F62" s="1073"/>
      <c r="G62" s="515"/>
    </row>
    <row r="63" spans="1:7" ht="18">
      <c r="A63" s="515"/>
      <c r="B63" s="515"/>
      <c r="C63" s="1073"/>
      <c r="D63" s="1073"/>
      <c r="E63" s="1073"/>
      <c r="F63" s="1073"/>
      <c r="G63" s="515"/>
    </row>
    <row r="64" spans="1:7" ht="18">
      <c r="A64" s="515"/>
      <c r="B64" s="515"/>
      <c r="C64" s="1073"/>
      <c r="D64" s="1073"/>
      <c r="E64" s="1073"/>
      <c r="F64" s="1073"/>
      <c r="G64" s="515"/>
    </row>
    <row r="65" spans="1:7" ht="18">
      <c r="A65" s="515"/>
      <c r="B65" s="515"/>
      <c r="C65" s="1073"/>
      <c r="D65" s="1073"/>
      <c r="E65" s="1073"/>
      <c r="F65" s="515"/>
      <c r="G65" s="515"/>
    </row>
    <row r="66" spans="1:7" ht="18">
      <c r="A66" s="515"/>
      <c r="B66" s="515"/>
      <c r="C66" s="1073"/>
      <c r="D66" s="1073"/>
      <c r="E66" s="1073"/>
      <c r="F66" s="515"/>
      <c r="G66" s="515"/>
    </row>
    <row r="67" spans="1:7" ht="18">
      <c r="A67" s="1074" t="s">
        <v>510</v>
      </c>
      <c r="B67" s="1306" t="s">
        <v>187</v>
      </c>
      <c r="C67" s="1247"/>
      <c r="D67" s="1247"/>
      <c r="E67" s="1075"/>
      <c r="F67" s="1307" t="s">
        <v>188</v>
      </c>
      <c r="G67" s="1251"/>
    </row>
    <row r="68" spans="1:7" ht="18">
      <c r="A68" s="1076" t="s">
        <v>511</v>
      </c>
      <c r="B68" s="1304" t="s">
        <v>190</v>
      </c>
      <c r="C68" s="1247"/>
      <c r="D68" s="1247"/>
      <c r="E68" s="1077"/>
      <c r="F68" s="1305" t="s">
        <v>191</v>
      </c>
      <c r="G68" s="1251"/>
    </row>
    <row r="69" spans="1:7" ht="18">
      <c r="A69" s="515"/>
      <c r="B69" s="515"/>
      <c r="C69" s="1073"/>
      <c r="D69" s="1073"/>
      <c r="E69" s="1073"/>
      <c r="F69" s="515"/>
      <c r="G69" s="515"/>
    </row>
    <row r="70" spans="1:7" ht="18">
      <c r="A70" s="515"/>
      <c r="B70" s="515"/>
      <c r="C70" s="1073"/>
      <c r="D70" s="1073"/>
      <c r="E70" s="1073"/>
      <c r="F70" s="515"/>
      <c r="G70" s="515"/>
    </row>
    <row r="71" spans="1:7" ht="16.5">
      <c r="A71" s="1238"/>
      <c r="B71" s="1238"/>
      <c r="C71" s="1238"/>
      <c r="D71" s="1238"/>
      <c r="E71" s="1238"/>
      <c r="F71" s="1238"/>
      <c r="G71" s="1238"/>
    </row>
    <row r="72" spans="1:7" ht="16.5">
      <c r="A72" s="1238" t="s">
        <v>194</v>
      </c>
      <c r="B72" s="1238"/>
      <c r="C72" s="1238"/>
      <c r="D72" s="1238"/>
      <c r="E72" s="1238"/>
      <c r="F72" s="1238"/>
      <c r="G72" s="1238"/>
    </row>
    <row r="73" spans="1:7" ht="18">
      <c r="A73" s="515"/>
      <c r="B73" s="515"/>
      <c r="C73" s="1073"/>
      <c r="D73" s="1073"/>
      <c r="E73" s="1073"/>
      <c r="F73" s="515"/>
      <c r="G73" s="515"/>
    </row>
    <row r="74" spans="1:7" ht="18">
      <c r="A74" s="515"/>
      <c r="B74" s="515"/>
      <c r="C74" s="1073"/>
      <c r="D74" s="1073"/>
      <c r="E74" s="1073"/>
      <c r="F74" s="515"/>
      <c r="G74" s="515"/>
    </row>
    <row r="75" spans="1:7" ht="18">
      <c r="A75" s="515"/>
      <c r="B75" s="515"/>
      <c r="C75" s="1073"/>
      <c r="D75" s="1073"/>
      <c r="E75" s="1073"/>
      <c r="F75" s="515"/>
      <c r="G75" s="515"/>
    </row>
    <row r="76" spans="1:7" ht="18">
      <c r="A76" s="515"/>
      <c r="B76" s="515"/>
      <c r="C76" s="1073"/>
      <c r="D76" s="1073"/>
      <c r="E76" s="1073"/>
      <c r="F76" s="515"/>
      <c r="G76" s="515"/>
    </row>
    <row r="77" spans="1:7" ht="18">
      <c r="A77" s="515"/>
      <c r="B77" s="515"/>
      <c r="C77" s="1073"/>
      <c r="D77" s="1073"/>
      <c r="E77" s="1073"/>
      <c r="F77" s="515"/>
      <c r="G77" s="515"/>
    </row>
    <row r="78" spans="1:7" ht="18">
      <c r="A78" s="515"/>
      <c r="B78" s="515"/>
      <c r="C78" s="1073"/>
      <c r="D78" s="1073"/>
      <c r="E78" s="1073"/>
      <c r="F78" s="515"/>
      <c r="G78" s="515"/>
    </row>
    <row r="79" spans="1:7" ht="18">
      <c r="A79" s="515"/>
      <c r="B79" s="515"/>
      <c r="C79" s="1073"/>
      <c r="D79" s="1073"/>
      <c r="E79" s="1073"/>
      <c r="F79" s="515"/>
      <c r="G79" s="515"/>
    </row>
    <row r="80" spans="1:7" ht="18">
      <c r="A80" s="515"/>
      <c r="B80" s="515"/>
      <c r="C80" s="1073"/>
      <c r="D80" s="1073"/>
      <c r="E80" s="1073"/>
      <c r="F80" s="515"/>
      <c r="G80" s="515"/>
    </row>
    <row r="81" spans="1:7" ht="18">
      <c r="A81" s="515"/>
      <c r="B81" s="515"/>
      <c r="C81" s="1073"/>
      <c r="D81" s="1073"/>
      <c r="E81" s="1073"/>
      <c r="F81" s="515"/>
      <c r="G81" s="515"/>
    </row>
    <row r="82" spans="1:7" ht="18">
      <c r="A82" s="515"/>
      <c r="B82" s="515"/>
      <c r="C82" s="1073"/>
      <c r="D82" s="1073"/>
      <c r="E82" s="1073"/>
      <c r="F82" s="515"/>
      <c r="G82" s="515"/>
    </row>
    <row r="83" spans="1:7" ht="18">
      <c r="A83" s="515"/>
      <c r="B83" s="515"/>
      <c r="C83" s="1073"/>
      <c r="D83" s="1073"/>
      <c r="E83" s="1073"/>
      <c r="F83" s="515"/>
      <c r="G83" s="515"/>
    </row>
    <row r="84" spans="1:7" ht="18">
      <c r="A84" s="515"/>
      <c r="B84" s="515"/>
      <c r="C84" s="1073"/>
      <c r="D84" s="1073"/>
      <c r="E84" s="1073"/>
      <c r="F84" s="515"/>
      <c r="G84" s="515"/>
    </row>
    <row r="85" spans="1:7" ht="18">
      <c r="A85" s="515"/>
      <c r="B85" s="515"/>
      <c r="C85" s="1073"/>
      <c r="D85" s="1073"/>
      <c r="E85" s="1073"/>
      <c r="F85" s="515"/>
      <c r="G85" s="515"/>
    </row>
    <row r="86" spans="1:7" ht="18">
      <c r="A86" s="515"/>
      <c r="B86" s="515"/>
      <c r="C86" s="1073"/>
      <c r="D86" s="1073"/>
      <c r="E86" s="1073"/>
      <c r="F86" s="515"/>
      <c r="G86" s="515"/>
    </row>
    <row r="87" spans="1:7" ht="18">
      <c r="A87" s="515"/>
      <c r="B87" s="515"/>
      <c r="C87" s="1073"/>
      <c r="D87" s="1073"/>
      <c r="E87" s="1073"/>
      <c r="F87" s="515"/>
      <c r="G87" s="515"/>
    </row>
    <row r="88" spans="1:7" ht="18">
      <c r="A88" s="515"/>
      <c r="B88" s="515"/>
      <c r="C88" s="1073"/>
      <c r="D88" s="1073"/>
      <c r="E88" s="1073"/>
      <c r="F88" s="515"/>
      <c r="G88" s="515"/>
    </row>
    <row r="89" spans="1:7" ht="18">
      <c r="A89" s="515"/>
      <c r="B89" s="515"/>
      <c r="C89" s="1073"/>
      <c r="D89" s="1073"/>
      <c r="E89" s="1073"/>
      <c r="F89" s="515"/>
      <c r="G89" s="515"/>
    </row>
    <row r="90" spans="1:7" ht="18">
      <c r="A90" s="515"/>
      <c r="B90" s="515"/>
      <c r="C90" s="1073"/>
      <c r="D90" s="1073"/>
      <c r="E90" s="1073"/>
      <c r="F90" s="515"/>
      <c r="G90" s="515"/>
    </row>
    <row r="91" spans="1:7" ht="18">
      <c r="A91" s="515"/>
      <c r="B91" s="515"/>
      <c r="C91" s="1073"/>
      <c r="D91" s="1073"/>
      <c r="E91" s="1073"/>
      <c r="F91" s="515"/>
      <c r="G91" s="515"/>
    </row>
    <row r="92" spans="1:7" ht="18">
      <c r="A92" s="515"/>
      <c r="B92" s="515"/>
      <c r="C92" s="1073"/>
      <c r="D92" s="1073"/>
      <c r="E92" s="1073"/>
      <c r="F92" s="515"/>
      <c r="G92" s="515"/>
    </row>
    <row r="93" spans="1:7" ht="18">
      <c r="A93" s="515"/>
      <c r="B93" s="515"/>
      <c r="C93" s="1073"/>
      <c r="D93" s="1073"/>
      <c r="E93" s="1073"/>
      <c r="F93" s="515"/>
      <c r="G93" s="515"/>
    </row>
    <row r="94" spans="1:7" ht="18">
      <c r="A94" s="515"/>
      <c r="B94" s="515"/>
      <c r="C94" s="1073"/>
      <c r="D94" s="1073"/>
      <c r="E94" s="1073"/>
      <c r="F94" s="515"/>
      <c r="G94" s="515"/>
    </row>
    <row r="95" spans="1:7" ht="18">
      <c r="A95" s="515"/>
      <c r="B95" s="515"/>
      <c r="C95" s="1073"/>
      <c r="D95" s="1073"/>
      <c r="E95" s="1073"/>
      <c r="F95" s="515"/>
      <c r="G95" s="515"/>
    </row>
    <row r="96" spans="1:7" ht="18">
      <c r="A96" s="515"/>
      <c r="B96" s="515"/>
      <c r="C96" s="1073"/>
      <c r="D96" s="1073"/>
      <c r="E96" s="1073"/>
      <c r="F96" s="515"/>
      <c r="G96" s="515"/>
    </row>
    <row r="97" spans="1:7" ht="18">
      <c r="A97" s="515"/>
      <c r="B97" s="515"/>
      <c r="C97" s="1073"/>
      <c r="D97" s="1073"/>
      <c r="E97" s="1073"/>
      <c r="F97" s="515"/>
      <c r="G97" s="515"/>
    </row>
    <row r="98" spans="1:7" ht="18">
      <c r="A98" s="515"/>
      <c r="B98" s="515"/>
      <c r="C98" s="1073"/>
      <c r="D98" s="1073"/>
      <c r="E98" s="1073"/>
      <c r="F98" s="515"/>
      <c r="G98" s="515"/>
    </row>
    <row r="99" spans="1:7" ht="18">
      <c r="A99" s="515"/>
      <c r="B99" s="515"/>
      <c r="C99" s="1073"/>
      <c r="D99" s="1073"/>
      <c r="E99" s="1073"/>
      <c r="F99" s="515"/>
      <c r="G99" s="515"/>
    </row>
    <row r="100" spans="1:7" ht="18">
      <c r="A100" s="515"/>
      <c r="B100" s="515"/>
      <c r="C100" s="1073"/>
      <c r="D100" s="1073"/>
      <c r="E100" s="1073"/>
      <c r="F100" s="515"/>
      <c r="G100" s="515"/>
    </row>
    <row r="101" spans="1:7" ht="18">
      <c r="A101" s="515"/>
      <c r="B101" s="515"/>
      <c r="C101" s="1073"/>
      <c r="D101" s="1073"/>
      <c r="E101" s="1073"/>
      <c r="F101" s="515"/>
      <c r="G101" s="515"/>
    </row>
    <row r="102" spans="1:7" ht="18">
      <c r="A102" s="515"/>
      <c r="B102" s="515"/>
      <c r="C102" s="1073"/>
      <c r="D102" s="1073"/>
      <c r="E102" s="1073"/>
      <c r="F102" s="515"/>
      <c r="G102" s="515"/>
    </row>
    <row r="103" spans="1:7" ht="18">
      <c r="A103" s="515"/>
      <c r="B103" s="515"/>
      <c r="C103" s="1073"/>
      <c r="D103" s="1073"/>
      <c r="E103" s="1073"/>
      <c r="F103" s="515"/>
      <c r="G103" s="515"/>
    </row>
    <row r="104" spans="1:7" ht="18">
      <c r="A104" s="515"/>
      <c r="B104" s="515"/>
      <c r="C104" s="1073"/>
      <c r="D104" s="1073"/>
      <c r="E104" s="1073"/>
      <c r="F104" s="515"/>
      <c r="G104" s="515"/>
    </row>
    <row r="105" spans="1:7" ht="18">
      <c r="A105" s="515"/>
      <c r="B105" s="515"/>
      <c r="C105" s="1073"/>
      <c r="D105" s="1073"/>
      <c r="E105" s="1073"/>
      <c r="F105" s="515"/>
      <c r="G105" s="515"/>
    </row>
    <row r="106" spans="1:7" ht="18">
      <c r="A106" s="515"/>
      <c r="B106" s="515"/>
      <c r="C106" s="1073"/>
      <c r="D106" s="1073"/>
      <c r="E106" s="1073"/>
      <c r="F106" s="515"/>
      <c r="G106" s="515"/>
    </row>
    <row r="107" spans="1:7" ht="18">
      <c r="A107" s="515"/>
      <c r="B107" s="515"/>
      <c r="C107" s="1073"/>
      <c r="D107" s="1073"/>
      <c r="E107" s="1073"/>
      <c r="F107" s="515"/>
      <c r="G107" s="515"/>
    </row>
    <row r="108" spans="1:7" ht="18">
      <c r="A108" s="515"/>
      <c r="B108" s="515"/>
      <c r="C108" s="1073"/>
      <c r="D108" s="1073"/>
      <c r="E108" s="1073"/>
      <c r="F108" s="515"/>
      <c r="G108" s="515"/>
    </row>
    <row r="109" spans="1:7" ht="18">
      <c r="A109" s="515"/>
      <c r="B109" s="515"/>
      <c r="C109" s="1073"/>
      <c r="D109" s="1073"/>
      <c r="E109" s="1073"/>
      <c r="F109" s="515"/>
      <c r="G109" s="515"/>
    </row>
    <row r="110" spans="1:7" ht="18">
      <c r="A110" s="515"/>
      <c r="B110" s="515"/>
      <c r="C110" s="1073"/>
      <c r="D110" s="1073"/>
      <c r="E110" s="1073"/>
      <c r="F110" s="515"/>
      <c r="G110" s="515"/>
    </row>
    <row r="111" spans="1:7" ht="18">
      <c r="A111" s="515"/>
      <c r="B111" s="515"/>
      <c r="C111" s="1073"/>
      <c r="D111" s="1073"/>
      <c r="E111" s="1073"/>
      <c r="F111" s="515"/>
      <c r="G111" s="515"/>
    </row>
    <row r="112" spans="1:7" ht="18">
      <c r="A112" s="515"/>
      <c r="B112" s="515"/>
      <c r="C112" s="1073"/>
      <c r="D112" s="1073"/>
      <c r="E112" s="1073"/>
      <c r="F112" s="515"/>
      <c r="G112" s="515"/>
    </row>
    <row r="113" spans="1:7" ht="18">
      <c r="A113" s="515"/>
      <c r="B113" s="515"/>
      <c r="C113" s="1073"/>
      <c r="D113" s="1073"/>
      <c r="E113" s="1073"/>
      <c r="F113" s="515"/>
      <c r="G113" s="515"/>
    </row>
    <row r="114" spans="1:7" ht="18">
      <c r="A114" s="515"/>
      <c r="B114" s="515"/>
      <c r="C114" s="1073"/>
      <c r="D114" s="1073"/>
      <c r="E114" s="1073"/>
      <c r="F114" s="515"/>
      <c r="G114" s="515"/>
    </row>
    <row r="115" spans="1:7" ht="18">
      <c r="A115" s="515"/>
      <c r="B115" s="515"/>
      <c r="C115" s="1073"/>
      <c r="D115" s="1073"/>
      <c r="E115" s="1073"/>
      <c r="F115" s="515"/>
      <c r="G115" s="515"/>
    </row>
    <row r="116" spans="1:7" ht="18">
      <c r="A116" s="515"/>
      <c r="B116" s="515"/>
      <c r="C116" s="1073"/>
      <c r="D116" s="1073"/>
      <c r="E116" s="1073"/>
      <c r="F116" s="515"/>
      <c r="G116" s="515"/>
    </row>
    <row r="117" spans="1:7" ht="18">
      <c r="A117" s="515"/>
      <c r="B117" s="515"/>
      <c r="C117" s="1073"/>
      <c r="D117" s="1073"/>
      <c r="E117" s="1073"/>
      <c r="F117" s="515"/>
      <c r="G117" s="515"/>
    </row>
    <row r="118" spans="1:7" ht="18">
      <c r="A118" s="515"/>
      <c r="B118" s="515"/>
      <c r="C118" s="1073"/>
      <c r="D118" s="1073"/>
      <c r="E118" s="1073"/>
      <c r="F118" s="515"/>
      <c r="G118" s="515"/>
    </row>
    <row r="119" spans="1:7" ht="18">
      <c r="A119" s="515"/>
      <c r="B119" s="515"/>
      <c r="C119" s="1073"/>
      <c r="D119" s="1073"/>
      <c r="E119" s="1073"/>
      <c r="F119" s="515"/>
      <c r="G119" s="515"/>
    </row>
    <row r="120" spans="1:7" ht="18">
      <c r="A120" s="515"/>
      <c r="B120" s="515"/>
      <c r="C120" s="1073"/>
      <c r="D120" s="1073"/>
      <c r="E120" s="1073"/>
      <c r="F120" s="515"/>
      <c r="G120" s="515"/>
    </row>
    <row r="121" spans="1:7" ht="18">
      <c r="A121" s="515"/>
      <c r="B121" s="515"/>
      <c r="C121" s="1073"/>
      <c r="D121" s="1073"/>
      <c r="E121" s="1073"/>
      <c r="F121" s="515"/>
      <c r="G121" s="515"/>
    </row>
    <row r="122" spans="1:7" ht="18">
      <c r="A122" s="515"/>
      <c r="B122" s="515"/>
      <c r="C122" s="1073"/>
      <c r="D122" s="1073"/>
      <c r="E122" s="1073"/>
      <c r="F122" s="515"/>
      <c r="G122" s="515"/>
    </row>
    <row r="123" spans="1:7" ht="18">
      <c r="A123" s="515"/>
      <c r="B123" s="515"/>
      <c r="C123" s="1073"/>
      <c r="D123" s="1073"/>
      <c r="E123" s="1073"/>
      <c r="F123" s="515"/>
      <c r="G123" s="515"/>
    </row>
    <row r="124" spans="1:7" ht="18">
      <c r="A124" s="515"/>
      <c r="B124" s="515"/>
      <c r="C124" s="1073"/>
      <c r="D124" s="1073"/>
      <c r="E124" s="1073"/>
      <c r="F124" s="515"/>
      <c r="G124" s="515"/>
    </row>
    <row r="125" spans="1:7" ht="18">
      <c r="A125" s="515"/>
      <c r="B125" s="515"/>
      <c r="C125" s="1073"/>
      <c r="D125" s="1073"/>
      <c r="E125" s="1073"/>
      <c r="F125" s="515"/>
      <c r="G125" s="515"/>
    </row>
    <row r="126" spans="1:7" ht="18">
      <c r="A126" s="515"/>
      <c r="B126" s="515"/>
      <c r="C126" s="1073"/>
      <c r="D126" s="1073"/>
      <c r="E126" s="1073"/>
      <c r="F126" s="515"/>
      <c r="G126" s="515"/>
    </row>
    <row r="127" spans="1:7" ht="18">
      <c r="A127" s="515"/>
      <c r="B127" s="515"/>
      <c r="C127" s="1073"/>
      <c r="D127" s="1073"/>
      <c r="E127" s="1073"/>
      <c r="F127" s="515"/>
      <c r="G127" s="515"/>
    </row>
    <row r="128" spans="1:7" ht="18">
      <c r="A128" s="515"/>
      <c r="B128" s="515"/>
      <c r="C128" s="1073"/>
      <c r="D128" s="1073"/>
      <c r="E128" s="1073"/>
      <c r="F128" s="515"/>
      <c r="G128" s="515"/>
    </row>
    <row r="129" spans="1:7" ht="18">
      <c r="A129" s="515"/>
      <c r="B129" s="515"/>
      <c r="C129" s="1073"/>
      <c r="D129" s="1073"/>
      <c r="E129" s="1073"/>
      <c r="F129" s="515"/>
      <c r="G129" s="515"/>
    </row>
    <row r="130" spans="1:7" ht="18">
      <c r="A130" s="515"/>
      <c r="B130" s="515"/>
      <c r="C130" s="1073"/>
      <c r="D130" s="1073"/>
      <c r="E130" s="1073"/>
      <c r="F130" s="515"/>
      <c r="G130" s="515"/>
    </row>
    <row r="131" spans="1:7" ht="18">
      <c r="A131" s="515"/>
      <c r="B131" s="515"/>
      <c r="C131" s="1073"/>
      <c r="D131" s="1073"/>
      <c r="E131" s="1073"/>
      <c r="F131" s="515"/>
      <c r="G131" s="515"/>
    </row>
    <row r="132" spans="1:7" ht="18">
      <c r="A132" s="515"/>
      <c r="B132" s="515"/>
      <c r="C132" s="1073"/>
      <c r="D132" s="1073"/>
      <c r="E132" s="1073"/>
      <c r="F132" s="515"/>
      <c r="G132" s="515"/>
    </row>
    <row r="133" spans="1:7" ht="18">
      <c r="A133" s="515"/>
      <c r="B133" s="515"/>
      <c r="C133" s="1073"/>
      <c r="D133" s="1073"/>
      <c r="E133" s="1073"/>
      <c r="F133" s="515"/>
      <c r="G133" s="515"/>
    </row>
    <row r="134" spans="1:7" ht="18">
      <c r="A134" s="515"/>
      <c r="B134" s="515"/>
      <c r="C134" s="1073"/>
      <c r="D134" s="1073"/>
      <c r="E134" s="1073"/>
      <c r="F134" s="515"/>
      <c r="G134" s="515"/>
    </row>
    <row r="135" spans="1:7" ht="18">
      <c r="A135" s="515"/>
      <c r="B135" s="515"/>
      <c r="C135" s="1073"/>
      <c r="D135" s="1073"/>
      <c r="E135" s="1073"/>
      <c r="F135" s="515"/>
      <c r="G135" s="515"/>
    </row>
    <row r="136" spans="1:7" ht="18">
      <c r="A136" s="515"/>
      <c r="B136" s="515"/>
      <c r="C136" s="1073"/>
      <c r="D136" s="1073"/>
      <c r="E136" s="1073"/>
      <c r="F136" s="515"/>
      <c r="G136" s="515"/>
    </row>
    <row r="137" spans="1:7" ht="18">
      <c r="A137" s="515"/>
      <c r="B137" s="515"/>
      <c r="C137" s="1073"/>
      <c r="D137" s="1073"/>
      <c r="E137" s="1073"/>
      <c r="F137" s="515"/>
      <c r="G137" s="515"/>
    </row>
    <row r="138" spans="1:7" ht="18">
      <c r="A138" s="515"/>
      <c r="B138" s="515"/>
      <c r="C138" s="1073"/>
      <c r="D138" s="1073"/>
      <c r="E138" s="1073"/>
      <c r="F138" s="515"/>
      <c r="G138" s="515"/>
    </row>
    <row r="139" spans="1:7" ht="18">
      <c r="A139" s="515"/>
      <c r="B139" s="515"/>
      <c r="C139" s="1073"/>
      <c r="D139" s="1073"/>
      <c r="E139" s="1073"/>
      <c r="F139" s="515"/>
      <c r="G139" s="515"/>
    </row>
    <row r="140" spans="1:7" ht="18">
      <c r="A140" s="515"/>
      <c r="B140" s="515"/>
      <c r="C140" s="1073"/>
      <c r="D140" s="1073"/>
      <c r="E140" s="1073"/>
      <c r="F140" s="515"/>
      <c r="G140" s="515"/>
    </row>
    <row r="141" spans="1:7" ht="18">
      <c r="A141" s="515"/>
      <c r="B141" s="515"/>
      <c r="C141" s="1073"/>
      <c r="D141" s="1073"/>
      <c r="E141" s="1073"/>
      <c r="F141" s="515"/>
      <c r="G141" s="515"/>
    </row>
    <row r="142" spans="1:7" ht="18">
      <c r="A142" s="515"/>
      <c r="B142" s="515"/>
      <c r="C142" s="1073"/>
      <c r="D142" s="1073"/>
      <c r="E142" s="1073"/>
      <c r="F142" s="515"/>
      <c r="G142" s="515"/>
    </row>
    <row r="143" spans="1:7" ht="18">
      <c r="A143" s="515"/>
      <c r="B143" s="515"/>
      <c r="C143" s="1073"/>
      <c r="D143" s="1073"/>
      <c r="E143" s="1073"/>
      <c r="F143" s="515"/>
      <c r="G143" s="515"/>
    </row>
    <row r="144" spans="1:7" ht="18">
      <c r="A144" s="515"/>
      <c r="B144" s="515"/>
      <c r="C144" s="1073"/>
      <c r="D144" s="1073"/>
      <c r="E144" s="1073"/>
      <c r="F144" s="515"/>
      <c r="G144" s="515"/>
    </row>
    <row r="145" spans="1:7" ht="18">
      <c r="A145" s="515"/>
      <c r="B145" s="515"/>
      <c r="C145" s="1073"/>
      <c r="D145" s="1073"/>
      <c r="E145" s="1073"/>
      <c r="F145" s="515"/>
      <c r="G145" s="515"/>
    </row>
    <row r="146" spans="1:7" ht="18">
      <c r="A146" s="515"/>
      <c r="B146" s="515"/>
      <c r="C146" s="1073"/>
      <c r="D146" s="1073"/>
      <c r="E146" s="1073"/>
      <c r="F146" s="515"/>
      <c r="G146" s="515"/>
    </row>
    <row r="147" spans="1:7" ht="18">
      <c r="A147" s="515"/>
      <c r="B147" s="515"/>
      <c r="C147" s="1073"/>
      <c r="D147" s="1073"/>
      <c r="E147" s="1073"/>
      <c r="F147" s="515"/>
      <c r="G147" s="515"/>
    </row>
    <row r="148" spans="1:7" ht="18">
      <c r="A148" s="515"/>
      <c r="B148" s="515"/>
      <c r="C148" s="1073"/>
      <c r="D148" s="1073"/>
      <c r="E148" s="1073"/>
      <c r="F148" s="515"/>
      <c r="G148" s="515"/>
    </row>
    <row r="149" spans="1:7" ht="18">
      <c r="A149" s="515"/>
      <c r="B149" s="515"/>
      <c r="C149" s="1073"/>
      <c r="D149" s="1073"/>
      <c r="E149" s="1073"/>
      <c r="F149" s="515"/>
      <c r="G149" s="515"/>
    </row>
    <row r="150" spans="1:7" ht="18">
      <c r="A150" s="515"/>
      <c r="B150" s="515"/>
      <c r="C150" s="1073"/>
      <c r="D150" s="1073"/>
      <c r="E150" s="1073"/>
      <c r="F150" s="515"/>
      <c r="G150" s="515"/>
    </row>
    <row r="151" spans="1:7" ht="18">
      <c r="A151" s="515"/>
      <c r="B151" s="515"/>
      <c r="C151" s="1073"/>
      <c r="D151" s="1073"/>
      <c r="E151" s="1073"/>
      <c r="F151" s="515"/>
      <c r="G151" s="515"/>
    </row>
    <row r="152" spans="1:7" ht="18">
      <c r="A152" s="515"/>
      <c r="B152" s="515"/>
      <c r="C152" s="1073"/>
      <c r="D152" s="1073"/>
      <c r="E152" s="1073"/>
      <c r="F152" s="515"/>
      <c r="G152" s="515"/>
    </row>
    <row r="153" spans="1:7" ht="18">
      <c r="A153" s="515"/>
      <c r="B153" s="515"/>
      <c r="C153" s="1073"/>
      <c r="D153" s="1073"/>
      <c r="E153" s="1073"/>
      <c r="F153" s="515"/>
      <c r="G153" s="515"/>
    </row>
    <row r="154" spans="1:7" ht="18">
      <c r="A154" s="515"/>
      <c r="B154" s="515"/>
      <c r="C154" s="1073"/>
      <c r="D154" s="1073"/>
      <c r="E154" s="1073"/>
      <c r="F154" s="515"/>
      <c r="G154" s="515"/>
    </row>
    <row r="155" spans="1:7" ht="18">
      <c r="A155" s="515"/>
      <c r="B155" s="515"/>
      <c r="C155" s="1073"/>
      <c r="D155" s="1073"/>
      <c r="E155" s="1073"/>
      <c r="F155" s="515"/>
      <c r="G155" s="515"/>
    </row>
    <row r="156" spans="1:7" ht="18">
      <c r="A156" s="515"/>
      <c r="B156" s="515"/>
      <c r="C156" s="1073"/>
      <c r="D156" s="1073"/>
      <c r="E156" s="1073"/>
      <c r="F156" s="515"/>
      <c r="G156" s="515"/>
    </row>
    <row r="157" spans="1:7" ht="18">
      <c r="A157" s="515"/>
      <c r="B157" s="515"/>
      <c r="C157" s="1073"/>
      <c r="D157" s="1073"/>
      <c r="E157" s="1073"/>
      <c r="F157" s="515"/>
      <c r="G157" s="515"/>
    </row>
    <row r="158" spans="1:7" ht="18">
      <c r="A158" s="515"/>
      <c r="B158" s="515"/>
      <c r="C158" s="1073"/>
      <c r="D158" s="1073"/>
      <c r="E158" s="1073"/>
      <c r="F158" s="515"/>
      <c r="G158" s="515"/>
    </row>
    <row r="159" spans="1:7" ht="18">
      <c r="A159" s="515"/>
      <c r="B159" s="515"/>
      <c r="C159" s="1073"/>
      <c r="D159" s="1073"/>
      <c r="E159" s="1073"/>
      <c r="F159" s="515"/>
      <c r="G159" s="515"/>
    </row>
    <row r="160" spans="1:7" ht="18">
      <c r="A160" s="515"/>
      <c r="B160" s="515"/>
      <c r="C160" s="1073"/>
      <c r="D160" s="1073"/>
      <c r="E160" s="1073"/>
      <c r="F160" s="515"/>
      <c r="G160" s="515"/>
    </row>
    <row r="161" spans="1:7" ht="18">
      <c r="A161" s="515"/>
      <c r="B161" s="515"/>
      <c r="C161" s="1073"/>
      <c r="D161" s="1073"/>
      <c r="E161" s="1073"/>
      <c r="F161" s="515"/>
      <c r="G161" s="515"/>
    </row>
    <row r="162" spans="1:7" ht="18">
      <c r="A162" s="515"/>
      <c r="B162" s="515"/>
      <c r="C162" s="1073"/>
      <c r="D162" s="1073"/>
      <c r="E162" s="1073"/>
      <c r="F162" s="515"/>
      <c r="G162" s="515"/>
    </row>
    <row r="163" spans="1:7" ht="18">
      <c r="A163" s="515"/>
      <c r="B163" s="515"/>
      <c r="C163" s="1073"/>
      <c r="D163" s="1073"/>
      <c r="E163" s="1073"/>
      <c r="F163" s="515"/>
      <c r="G163" s="515"/>
    </row>
    <row r="164" spans="1:7" ht="18">
      <c r="A164" s="515"/>
      <c r="B164" s="515"/>
      <c r="C164" s="1073"/>
      <c r="D164" s="1073"/>
      <c r="E164" s="1073"/>
      <c r="F164" s="515"/>
      <c r="G164" s="515"/>
    </row>
    <row r="165" spans="1:7" ht="18">
      <c r="A165" s="515"/>
      <c r="B165" s="515"/>
      <c r="C165" s="1073"/>
      <c r="D165" s="1073"/>
      <c r="E165" s="1073"/>
      <c r="F165" s="515"/>
      <c r="G165" s="515"/>
    </row>
    <row r="166" spans="1:7" ht="18">
      <c r="A166" s="515"/>
      <c r="B166" s="515"/>
      <c r="C166" s="1073"/>
      <c r="D166" s="1073"/>
      <c r="E166" s="1073"/>
      <c r="F166" s="515"/>
      <c r="G166" s="515"/>
    </row>
    <row r="167" spans="1:7" ht="18">
      <c r="A167" s="515"/>
      <c r="B167" s="515"/>
      <c r="C167" s="1073"/>
      <c r="D167" s="1073"/>
      <c r="E167" s="1073"/>
      <c r="F167" s="515"/>
      <c r="G167" s="515"/>
    </row>
    <row r="168" spans="1:7" ht="18">
      <c r="A168" s="515"/>
      <c r="B168" s="515"/>
      <c r="C168" s="1073"/>
      <c r="D168" s="1073"/>
      <c r="E168" s="1073"/>
      <c r="F168" s="515"/>
      <c r="G168" s="515"/>
    </row>
    <row r="169" spans="1:7" ht="18">
      <c r="A169" s="515"/>
      <c r="B169" s="515"/>
      <c r="C169" s="1073"/>
      <c r="D169" s="1073"/>
      <c r="E169" s="1073"/>
      <c r="F169" s="515"/>
      <c r="G169" s="515"/>
    </row>
    <row r="170" spans="1:7" ht="18">
      <c r="A170" s="515"/>
      <c r="B170" s="515"/>
      <c r="C170" s="1073"/>
      <c r="D170" s="1073"/>
      <c r="E170" s="1073"/>
      <c r="F170" s="515"/>
      <c r="G170" s="515"/>
    </row>
    <row r="171" spans="1:7" ht="18">
      <c r="A171" s="515"/>
      <c r="B171" s="515"/>
      <c r="C171" s="1073"/>
      <c r="D171" s="1073"/>
      <c r="E171" s="1073"/>
      <c r="F171" s="515"/>
      <c r="G171" s="515"/>
    </row>
    <row r="172" spans="1:7" ht="18">
      <c r="A172" s="515"/>
      <c r="B172" s="515"/>
      <c r="C172" s="1073"/>
      <c r="D172" s="1073"/>
      <c r="E172" s="1073"/>
      <c r="F172" s="515"/>
      <c r="G172" s="515"/>
    </row>
    <row r="173" spans="1:7" ht="18">
      <c r="A173" s="515"/>
      <c r="B173" s="515"/>
      <c r="C173" s="1073"/>
      <c r="D173" s="1073"/>
      <c r="E173" s="1073"/>
      <c r="F173" s="515"/>
      <c r="G173" s="515"/>
    </row>
    <row r="174" spans="1:7" ht="18">
      <c r="A174" s="515"/>
      <c r="B174" s="515"/>
      <c r="C174" s="1073"/>
      <c r="D174" s="1073"/>
      <c r="E174" s="1073"/>
      <c r="F174" s="515"/>
      <c r="G174" s="515"/>
    </row>
    <row r="175" spans="1:7" ht="18">
      <c r="A175" s="515"/>
      <c r="B175" s="515"/>
      <c r="C175" s="1073"/>
      <c r="D175" s="1073"/>
      <c r="E175" s="1073"/>
      <c r="F175" s="515"/>
      <c r="G175" s="515"/>
    </row>
    <row r="176" spans="1:7" ht="18">
      <c r="A176" s="515"/>
      <c r="B176" s="515"/>
      <c r="C176" s="1073"/>
      <c r="D176" s="1073"/>
      <c r="E176" s="1073"/>
      <c r="F176" s="515"/>
      <c r="G176" s="515"/>
    </row>
    <row r="177" spans="1:7" ht="18">
      <c r="A177" s="515"/>
      <c r="B177" s="515"/>
      <c r="C177" s="1073"/>
      <c r="D177" s="1073"/>
      <c r="E177" s="1073"/>
      <c r="F177" s="515"/>
      <c r="G177" s="515"/>
    </row>
    <row r="178" spans="1:7" ht="18">
      <c r="A178" s="515"/>
      <c r="B178" s="515"/>
      <c r="C178" s="1073"/>
      <c r="D178" s="1073"/>
      <c r="E178" s="1073"/>
      <c r="F178" s="515"/>
      <c r="G178" s="515"/>
    </row>
    <row r="179" spans="1:7" ht="18">
      <c r="A179" s="515"/>
      <c r="B179" s="515"/>
      <c r="C179" s="1073"/>
      <c r="D179" s="1073"/>
      <c r="E179" s="1073"/>
      <c r="F179" s="515"/>
      <c r="G179" s="515"/>
    </row>
    <row r="180" spans="1:7" ht="18">
      <c r="A180" s="515"/>
      <c r="B180" s="515"/>
      <c r="C180" s="1073"/>
      <c r="D180" s="1073"/>
      <c r="E180" s="1073"/>
      <c r="F180" s="515"/>
      <c r="G180" s="515"/>
    </row>
    <row r="181" spans="1:7" ht="18">
      <c r="A181" s="515"/>
      <c r="B181" s="515"/>
      <c r="C181" s="1073"/>
      <c r="D181" s="1073"/>
      <c r="E181" s="1073"/>
      <c r="F181" s="515"/>
      <c r="G181" s="515"/>
    </row>
    <row r="182" spans="1:7" ht="18">
      <c r="A182" s="515"/>
      <c r="B182" s="515"/>
      <c r="C182" s="1073"/>
      <c r="D182" s="1073"/>
      <c r="E182" s="1073"/>
      <c r="F182" s="515"/>
      <c r="G182" s="515"/>
    </row>
    <row r="183" spans="1:7" ht="18">
      <c r="A183" s="515"/>
      <c r="B183" s="515"/>
      <c r="C183" s="1073"/>
      <c r="D183" s="1073"/>
      <c r="E183" s="1073"/>
      <c r="F183" s="515"/>
      <c r="G183" s="515"/>
    </row>
    <row r="184" spans="1:7" ht="18">
      <c r="A184" s="515"/>
      <c r="B184" s="515"/>
      <c r="C184" s="1073"/>
      <c r="D184" s="1073"/>
      <c r="E184" s="1073"/>
      <c r="F184" s="515"/>
      <c r="G184" s="515"/>
    </row>
    <row r="185" spans="1:7" ht="18">
      <c r="A185" s="515"/>
      <c r="B185" s="515"/>
      <c r="C185" s="1073"/>
      <c r="D185" s="1073"/>
      <c r="E185" s="1073"/>
      <c r="F185" s="515"/>
      <c r="G185" s="515"/>
    </row>
    <row r="186" spans="1:7" ht="18">
      <c r="A186" s="515"/>
      <c r="B186" s="515"/>
      <c r="C186" s="1073"/>
      <c r="D186" s="1073"/>
      <c r="E186" s="1073"/>
      <c r="F186" s="515"/>
      <c r="G186" s="515"/>
    </row>
    <row r="187" spans="1:7" ht="18">
      <c r="A187" s="515"/>
      <c r="B187" s="515"/>
      <c r="C187" s="1073"/>
      <c r="D187" s="1073"/>
      <c r="E187" s="1073"/>
      <c r="F187" s="515"/>
      <c r="G187" s="515"/>
    </row>
    <row r="188" spans="1:7" ht="18">
      <c r="A188" s="515"/>
      <c r="B188" s="515"/>
      <c r="C188" s="1073"/>
      <c r="D188" s="1073"/>
      <c r="E188" s="1073"/>
      <c r="F188" s="515"/>
      <c r="G188" s="515"/>
    </row>
    <row r="189" spans="1:7" ht="18">
      <c r="A189" s="515"/>
      <c r="B189" s="515"/>
      <c r="C189" s="1073"/>
      <c r="D189" s="1073"/>
      <c r="E189" s="1073"/>
      <c r="F189" s="515"/>
      <c r="G189" s="515"/>
    </row>
    <row r="190" spans="1:7" ht="18">
      <c r="A190" s="515"/>
      <c r="B190" s="515"/>
      <c r="C190" s="1073"/>
      <c r="D190" s="1073"/>
      <c r="E190" s="1073"/>
      <c r="F190" s="515"/>
      <c r="G190" s="515"/>
    </row>
    <row r="191" spans="1:7" ht="18">
      <c r="A191" s="515"/>
      <c r="B191" s="515"/>
      <c r="C191" s="1073"/>
      <c r="D191" s="1073"/>
      <c r="E191" s="1073"/>
      <c r="F191" s="515"/>
      <c r="G191" s="515"/>
    </row>
    <row r="192" spans="1:7" ht="18">
      <c r="A192" s="515"/>
      <c r="B192" s="515"/>
      <c r="C192" s="1073"/>
      <c r="D192" s="1073"/>
      <c r="E192" s="1073"/>
      <c r="F192" s="515"/>
      <c r="G192" s="515"/>
    </row>
    <row r="193" spans="1:7" ht="18">
      <c r="A193" s="515"/>
      <c r="B193" s="515"/>
      <c r="C193" s="1073"/>
      <c r="D193" s="1073"/>
      <c r="E193" s="1073"/>
      <c r="F193" s="515"/>
      <c r="G193" s="515"/>
    </row>
    <row r="194" spans="1:7" ht="18">
      <c r="A194" s="515"/>
      <c r="B194" s="515"/>
      <c r="C194" s="1073"/>
      <c r="D194" s="1073"/>
      <c r="E194" s="1073"/>
      <c r="F194" s="515"/>
      <c r="G194" s="515"/>
    </row>
    <row r="195" spans="1:7" ht="18">
      <c r="A195" s="515"/>
      <c r="B195" s="515"/>
      <c r="C195" s="1073"/>
      <c r="D195" s="1073"/>
      <c r="E195" s="1073"/>
      <c r="F195" s="515"/>
      <c r="G195" s="515"/>
    </row>
    <row r="196" spans="1:7" ht="18">
      <c r="A196" s="515"/>
      <c r="B196" s="515"/>
      <c r="C196" s="1073"/>
      <c r="D196" s="1073"/>
      <c r="E196" s="1073"/>
      <c r="F196" s="515"/>
      <c r="G196" s="515"/>
    </row>
    <row r="197" spans="1:7" ht="18">
      <c r="A197" s="515"/>
      <c r="B197" s="515"/>
      <c r="C197" s="1073"/>
      <c r="D197" s="1073"/>
      <c r="E197" s="1073"/>
      <c r="F197" s="515"/>
      <c r="G197" s="515"/>
    </row>
    <row r="198" spans="1:7" ht="18">
      <c r="A198" s="515"/>
      <c r="B198" s="515"/>
      <c r="C198" s="1073"/>
      <c r="D198" s="1073"/>
      <c r="E198" s="1073"/>
      <c r="F198" s="515"/>
      <c r="G198" s="515"/>
    </row>
    <row r="199" spans="1:7" ht="18">
      <c r="A199" s="515"/>
      <c r="B199" s="515"/>
      <c r="C199" s="1073"/>
      <c r="D199" s="1073"/>
      <c r="E199" s="1073"/>
      <c r="F199" s="515"/>
      <c r="G199" s="515"/>
    </row>
    <row r="200" spans="1:7" ht="18">
      <c r="A200" s="515"/>
      <c r="B200" s="515"/>
      <c r="C200" s="1073"/>
      <c r="D200" s="1073"/>
      <c r="E200" s="1073"/>
      <c r="F200" s="515"/>
      <c r="G200" s="515"/>
    </row>
    <row r="201" spans="1:7" ht="18">
      <c r="A201" s="515"/>
      <c r="B201" s="515"/>
      <c r="C201" s="1073"/>
      <c r="D201" s="1073"/>
      <c r="E201" s="1073"/>
      <c r="F201" s="515"/>
      <c r="G201" s="515"/>
    </row>
    <row r="202" spans="1:7" ht="18">
      <c r="A202" s="515"/>
      <c r="B202" s="515"/>
      <c r="C202" s="1073"/>
      <c r="D202" s="1073"/>
      <c r="E202" s="1073"/>
      <c r="F202" s="515"/>
      <c r="G202" s="515"/>
    </row>
    <row r="203" spans="1:7" ht="18">
      <c r="A203" s="515"/>
      <c r="B203" s="515"/>
      <c r="C203" s="1073"/>
      <c r="D203" s="1073"/>
      <c r="E203" s="1073"/>
      <c r="F203" s="515"/>
      <c r="G203" s="515"/>
    </row>
    <row r="204" spans="1:7" ht="18">
      <c r="A204" s="515"/>
      <c r="B204" s="515"/>
      <c r="C204" s="1073"/>
      <c r="D204" s="1073"/>
      <c r="E204" s="1073"/>
      <c r="F204" s="515"/>
      <c r="G204" s="515"/>
    </row>
    <row r="205" spans="1:7" ht="18">
      <c r="A205" s="515"/>
      <c r="B205" s="515"/>
      <c r="C205" s="1073"/>
      <c r="D205" s="1073"/>
      <c r="E205" s="1073"/>
      <c r="F205" s="515"/>
      <c r="G205" s="515"/>
    </row>
    <row r="206" spans="1:7" ht="18">
      <c r="A206" s="515"/>
      <c r="B206" s="515"/>
      <c r="C206" s="1073"/>
      <c r="D206" s="1073"/>
      <c r="E206" s="1073"/>
      <c r="F206" s="515"/>
      <c r="G206" s="515"/>
    </row>
    <row r="207" spans="1:7" ht="18">
      <c r="A207" s="515"/>
      <c r="B207" s="515"/>
      <c r="C207" s="1073"/>
      <c r="D207" s="1073"/>
      <c r="E207" s="1073"/>
      <c r="F207" s="515"/>
      <c r="G207" s="515"/>
    </row>
    <row r="208" spans="1:7" ht="18">
      <c r="A208" s="515"/>
      <c r="B208" s="515"/>
      <c r="C208" s="1073"/>
      <c r="D208" s="1073"/>
      <c r="E208" s="1073"/>
      <c r="F208" s="515"/>
      <c r="G208" s="515"/>
    </row>
    <row r="209" spans="1:7" ht="18">
      <c r="A209" s="515"/>
      <c r="B209" s="515"/>
      <c r="C209" s="1073"/>
      <c r="D209" s="1073"/>
      <c r="E209" s="1073"/>
      <c r="F209" s="515"/>
      <c r="G209" s="515"/>
    </row>
    <row r="210" spans="1:7" ht="18">
      <c r="A210" s="515"/>
      <c r="B210" s="515"/>
      <c r="C210" s="1073"/>
      <c r="D210" s="1073"/>
      <c r="E210" s="1073"/>
      <c r="F210" s="515"/>
      <c r="G210" s="515"/>
    </row>
    <row r="211" spans="1:7" ht="18">
      <c r="A211" s="515"/>
      <c r="B211" s="515"/>
      <c r="C211" s="1073"/>
      <c r="D211" s="1073"/>
      <c r="E211" s="1073"/>
      <c r="F211" s="515"/>
      <c r="G211" s="515"/>
    </row>
    <row r="212" spans="1:7" ht="18">
      <c r="A212" s="515"/>
      <c r="B212" s="515"/>
      <c r="C212" s="1073"/>
      <c r="D212" s="1073"/>
      <c r="E212" s="1073"/>
      <c r="F212" s="515"/>
      <c r="G212" s="515"/>
    </row>
    <row r="213" spans="1:7" ht="18">
      <c r="A213" s="515"/>
      <c r="B213" s="515"/>
      <c r="C213" s="1073"/>
      <c r="D213" s="1073"/>
      <c r="E213" s="1073"/>
      <c r="F213" s="515"/>
      <c r="G213" s="515"/>
    </row>
    <row r="214" spans="1:7" ht="18">
      <c r="A214" s="515"/>
      <c r="B214" s="515"/>
      <c r="C214" s="1073"/>
      <c r="D214" s="1073"/>
      <c r="E214" s="1073"/>
      <c r="F214" s="515"/>
      <c r="G214" s="515"/>
    </row>
    <row r="215" spans="1:7" ht="18">
      <c r="A215" s="515"/>
      <c r="B215" s="515"/>
      <c r="C215" s="1073"/>
      <c r="D215" s="1073"/>
      <c r="E215" s="1073"/>
      <c r="F215" s="515"/>
      <c r="G215" s="515"/>
    </row>
    <row r="216" spans="1:7" ht="18">
      <c r="A216" s="515"/>
      <c r="B216" s="515"/>
      <c r="C216" s="1073"/>
      <c r="D216" s="1073"/>
      <c r="E216" s="1073"/>
      <c r="F216" s="515"/>
      <c r="G216" s="515"/>
    </row>
    <row r="217" spans="1:7" ht="18">
      <c r="A217" s="515"/>
      <c r="B217" s="515"/>
      <c r="C217" s="1073"/>
      <c r="D217" s="1073"/>
      <c r="E217" s="1073"/>
      <c r="F217" s="515"/>
      <c r="G217" s="515"/>
    </row>
    <row r="218" spans="1:7" ht="18">
      <c r="A218" s="515"/>
      <c r="B218" s="515"/>
      <c r="C218" s="1073"/>
      <c r="D218" s="1073"/>
      <c r="E218" s="1073"/>
      <c r="F218" s="515"/>
      <c r="G218" s="515"/>
    </row>
    <row r="219" spans="1:7" ht="18">
      <c r="A219" s="515"/>
      <c r="B219" s="515"/>
      <c r="C219" s="1073"/>
      <c r="D219" s="1073"/>
      <c r="E219" s="1073"/>
      <c r="F219" s="515"/>
      <c r="G219" s="515"/>
    </row>
    <row r="220" spans="1:7" ht="18">
      <c r="A220" s="515"/>
      <c r="B220" s="515"/>
      <c r="C220" s="1073"/>
      <c r="D220" s="1073"/>
      <c r="E220" s="1073"/>
      <c r="F220" s="515"/>
      <c r="G220" s="515"/>
    </row>
    <row r="221" spans="1:7" ht="18">
      <c r="A221" s="515"/>
      <c r="B221" s="515"/>
      <c r="C221" s="1073"/>
      <c r="D221" s="1073"/>
      <c r="E221" s="1073"/>
      <c r="F221" s="515"/>
      <c r="G221" s="515"/>
    </row>
    <row r="222" spans="1:7" ht="18">
      <c r="A222" s="515"/>
      <c r="B222" s="515"/>
      <c r="C222" s="1073"/>
      <c r="D222" s="1073"/>
      <c r="E222" s="1073"/>
      <c r="F222" s="515"/>
      <c r="G222" s="515"/>
    </row>
    <row r="223" spans="1:7" ht="18">
      <c r="A223" s="515"/>
      <c r="B223" s="515"/>
      <c r="C223" s="1073"/>
      <c r="D223" s="1073"/>
      <c r="E223" s="1073"/>
      <c r="F223" s="515"/>
      <c r="G223" s="515"/>
    </row>
    <row r="224" spans="1:7" ht="18">
      <c r="A224" s="515"/>
      <c r="B224" s="515"/>
      <c r="C224" s="1073"/>
      <c r="D224" s="1073"/>
      <c r="E224" s="1073"/>
      <c r="F224" s="515"/>
      <c r="G224" s="515"/>
    </row>
    <row r="225" spans="1:7" ht="18">
      <c r="A225" s="515"/>
      <c r="B225" s="515"/>
      <c r="C225" s="1073"/>
      <c r="D225" s="1073"/>
      <c r="E225" s="1073"/>
      <c r="F225" s="515"/>
      <c r="G225" s="515"/>
    </row>
    <row r="226" spans="1:7" ht="18">
      <c r="A226" s="515"/>
      <c r="B226" s="515"/>
      <c r="C226" s="1073"/>
      <c r="D226" s="1073"/>
      <c r="E226" s="1073"/>
      <c r="F226" s="515"/>
      <c r="G226" s="515"/>
    </row>
    <row r="227" spans="1:7" ht="18">
      <c r="A227" s="515"/>
      <c r="B227" s="515"/>
      <c r="C227" s="1073"/>
      <c r="D227" s="1073"/>
      <c r="E227" s="1073"/>
      <c r="F227" s="515"/>
      <c r="G227" s="515"/>
    </row>
    <row r="228" spans="1:7" ht="18">
      <c r="A228" s="515"/>
      <c r="B228" s="515"/>
      <c r="C228" s="1073"/>
      <c r="D228" s="1073"/>
      <c r="E228" s="1073"/>
      <c r="F228" s="515"/>
      <c r="G228" s="515"/>
    </row>
    <row r="229" spans="1:7" ht="18">
      <c r="A229" s="515"/>
      <c r="B229" s="515"/>
      <c r="C229" s="1073"/>
      <c r="D229" s="1073"/>
      <c r="E229" s="1073"/>
      <c r="F229" s="515"/>
      <c r="G229" s="515"/>
    </row>
    <row r="230" spans="1:7" ht="18">
      <c r="A230" s="515"/>
      <c r="B230" s="515"/>
      <c r="C230" s="1073"/>
      <c r="D230" s="1073"/>
      <c r="E230" s="1073"/>
      <c r="F230" s="515"/>
      <c r="G230" s="515"/>
    </row>
    <row r="231" spans="1:7" ht="18">
      <c r="A231" s="515"/>
      <c r="B231" s="515"/>
      <c r="C231" s="1073"/>
      <c r="D231" s="1073"/>
      <c r="E231" s="1073"/>
      <c r="F231" s="515"/>
      <c r="G231" s="515"/>
    </row>
    <row r="232" spans="1:7" ht="18">
      <c r="A232" s="515"/>
      <c r="B232" s="515"/>
      <c r="C232" s="1073"/>
      <c r="D232" s="1073"/>
      <c r="E232" s="1073"/>
      <c r="F232" s="515"/>
      <c r="G232" s="515"/>
    </row>
    <row r="233" spans="1:7" ht="18">
      <c r="A233" s="515"/>
      <c r="B233" s="515"/>
      <c r="C233" s="1073"/>
      <c r="D233" s="1073"/>
      <c r="E233" s="1073"/>
      <c r="F233" s="515"/>
      <c r="G233" s="515"/>
    </row>
    <row r="234" spans="1:7" ht="18">
      <c r="A234" s="515"/>
      <c r="B234" s="515"/>
      <c r="C234" s="1073"/>
      <c r="D234" s="1073"/>
      <c r="E234" s="1073"/>
      <c r="F234" s="515"/>
      <c r="G234" s="515"/>
    </row>
    <row r="235" spans="1:7" ht="18">
      <c r="A235" s="515"/>
      <c r="B235" s="515"/>
      <c r="C235" s="1073"/>
      <c r="D235" s="1073"/>
      <c r="E235" s="1073"/>
      <c r="F235" s="515"/>
      <c r="G235" s="515"/>
    </row>
    <row r="236" spans="1:7" ht="18">
      <c r="A236" s="515"/>
      <c r="B236" s="515"/>
      <c r="C236" s="1073"/>
      <c r="D236" s="1073"/>
      <c r="E236" s="1073"/>
      <c r="F236" s="515"/>
      <c r="G236" s="515"/>
    </row>
    <row r="237" spans="1:7" ht="18">
      <c r="A237" s="515"/>
      <c r="B237" s="515"/>
      <c r="C237" s="1073"/>
      <c r="D237" s="1073"/>
      <c r="E237" s="1073"/>
      <c r="F237" s="515"/>
      <c r="G237" s="515"/>
    </row>
    <row r="238" spans="1:7" ht="18">
      <c r="A238" s="515"/>
      <c r="B238" s="515"/>
      <c r="C238" s="1073"/>
      <c r="D238" s="1073"/>
      <c r="E238" s="1073"/>
      <c r="F238" s="515"/>
      <c r="G238" s="515"/>
    </row>
    <row r="239" spans="1:7" ht="18">
      <c r="A239" s="515"/>
      <c r="B239" s="515"/>
      <c r="C239" s="1073"/>
      <c r="D239" s="1073"/>
      <c r="E239" s="1073"/>
      <c r="F239" s="515"/>
      <c r="G239" s="515"/>
    </row>
    <row r="240" spans="1:7" ht="18">
      <c r="A240" s="515"/>
      <c r="B240" s="515"/>
      <c r="C240" s="1073"/>
      <c r="D240" s="1073"/>
      <c r="E240" s="1073"/>
      <c r="F240" s="515"/>
      <c r="G240" s="515"/>
    </row>
    <row r="241" spans="1:7" ht="18">
      <c r="A241" s="515"/>
      <c r="B241" s="515"/>
      <c r="C241" s="1073"/>
      <c r="D241" s="1073"/>
      <c r="E241" s="1073"/>
      <c r="F241" s="515"/>
      <c r="G241" s="515"/>
    </row>
    <row r="242" spans="1:7" ht="18">
      <c r="A242" s="515"/>
      <c r="B242" s="515"/>
      <c r="C242" s="1073"/>
      <c r="D242" s="1073"/>
      <c r="E242" s="1073"/>
      <c r="F242" s="515"/>
      <c r="G242" s="515"/>
    </row>
    <row r="243" spans="1:7" ht="18">
      <c r="A243" s="515"/>
      <c r="B243" s="515"/>
      <c r="C243" s="1073"/>
      <c r="D243" s="1073"/>
      <c r="E243" s="1073"/>
      <c r="F243" s="515"/>
      <c r="G243" s="515"/>
    </row>
    <row r="244" spans="1:7" ht="18">
      <c r="A244" s="515"/>
      <c r="B244" s="515"/>
      <c r="C244" s="1073"/>
      <c r="D244" s="1073"/>
      <c r="E244" s="1073"/>
      <c r="F244" s="515"/>
      <c r="G244" s="515"/>
    </row>
    <row r="245" spans="1:7" ht="18">
      <c r="A245" s="515"/>
      <c r="B245" s="515"/>
      <c r="C245" s="1073"/>
      <c r="D245" s="1073"/>
      <c r="E245" s="1073"/>
      <c r="F245" s="515"/>
      <c r="G245" s="515"/>
    </row>
    <row r="246" spans="1:7" ht="18">
      <c r="A246" s="515"/>
      <c r="B246" s="515"/>
      <c r="C246" s="1073"/>
      <c r="D246" s="1073"/>
      <c r="E246" s="1073"/>
      <c r="F246" s="515"/>
      <c r="G246" s="515"/>
    </row>
    <row r="247" spans="1:7" ht="18">
      <c r="A247" s="515"/>
      <c r="B247" s="515"/>
      <c r="C247" s="1073"/>
      <c r="D247" s="1073"/>
      <c r="E247" s="1073"/>
      <c r="F247" s="515"/>
      <c r="G247" s="515"/>
    </row>
    <row r="248" spans="1:7" ht="18">
      <c r="A248" s="515"/>
      <c r="B248" s="515"/>
      <c r="C248" s="1073"/>
      <c r="D248" s="1073"/>
      <c r="E248" s="1073"/>
      <c r="F248" s="515"/>
      <c r="G248" s="515"/>
    </row>
    <row r="249" spans="1:7" ht="18">
      <c r="A249" s="515"/>
      <c r="B249" s="515"/>
      <c r="C249" s="1073"/>
      <c r="D249" s="1073"/>
      <c r="E249" s="1073"/>
      <c r="F249" s="515"/>
      <c r="G249" s="515"/>
    </row>
    <row r="250" spans="1:7">
      <c r="A250" s="522"/>
      <c r="B250" s="522"/>
      <c r="C250" s="522"/>
      <c r="D250" s="522"/>
      <c r="E250" s="522"/>
      <c r="F250" s="522"/>
      <c r="G250" s="522"/>
    </row>
    <row r="251" spans="1:7">
      <c r="A251" s="522"/>
      <c r="B251" s="522"/>
      <c r="C251" s="522"/>
      <c r="D251" s="522"/>
      <c r="E251" s="522"/>
      <c r="F251" s="522"/>
      <c r="G251" s="522"/>
    </row>
    <row r="252" spans="1:7">
      <c r="A252" s="522"/>
      <c r="B252" s="522"/>
      <c r="C252" s="522"/>
      <c r="D252" s="522"/>
      <c r="E252" s="522"/>
      <c r="F252" s="522"/>
      <c r="G252" s="522"/>
    </row>
    <row r="253" spans="1:7">
      <c r="A253" s="522"/>
      <c r="B253" s="522"/>
      <c r="C253" s="522"/>
      <c r="D253" s="522"/>
      <c r="E253" s="522"/>
      <c r="F253" s="522"/>
      <c r="G253" s="522"/>
    </row>
    <row r="254" spans="1:7">
      <c r="A254" s="522"/>
      <c r="B254" s="522"/>
      <c r="C254" s="522"/>
      <c r="D254" s="522"/>
      <c r="E254" s="522"/>
      <c r="F254" s="522"/>
      <c r="G254" s="522"/>
    </row>
    <row r="255" spans="1:7">
      <c r="A255" s="522"/>
      <c r="B255" s="522"/>
      <c r="C255" s="522"/>
      <c r="D255" s="522"/>
      <c r="E255" s="522"/>
      <c r="F255" s="522"/>
      <c r="G255" s="522"/>
    </row>
    <row r="256" spans="1:7">
      <c r="A256" s="522"/>
      <c r="B256" s="522"/>
      <c r="C256" s="522"/>
      <c r="D256" s="522"/>
      <c r="E256" s="522"/>
      <c r="F256" s="522"/>
      <c r="G256" s="522"/>
    </row>
    <row r="257" spans="1:7">
      <c r="A257" s="522"/>
      <c r="B257" s="522"/>
      <c r="C257" s="522"/>
      <c r="D257" s="522"/>
      <c r="E257" s="522"/>
      <c r="F257" s="522"/>
      <c r="G257" s="522"/>
    </row>
    <row r="258" spans="1:7">
      <c r="A258" s="522"/>
      <c r="B258" s="522"/>
      <c r="C258" s="522"/>
      <c r="D258" s="522"/>
      <c r="E258" s="522"/>
      <c r="F258" s="522"/>
      <c r="G258" s="522"/>
    </row>
    <row r="259" spans="1:7">
      <c r="A259" s="522"/>
      <c r="B259" s="522"/>
      <c r="C259" s="522"/>
      <c r="D259" s="522"/>
      <c r="E259" s="522"/>
      <c r="F259" s="522"/>
      <c r="G259" s="522"/>
    </row>
    <row r="260" spans="1:7">
      <c r="A260" s="522"/>
      <c r="B260" s="522"/>
      <c r="C260" s="522"/>
      <c r="D260" s="522"/>
      <c r="E260" s="522"/>
      <c r="F260" s="522"/>
      <c r="G260" s="522"/>
    </row>
    <row r="261" spans="1:7">
      <c r="A261" s="522"/>
      <c r="B261" s="522"/>
      <c r="C261" s="522"/>
      <c r="D261" s="522"/>
      <c r="E261" s="522"/>
      <c r="F261" s="522"/>
      <c r="G261" s="522"/>
    </row>
    <row r="262" spans="1:7">
      <c r="A262" s="522"/>
      <c r="B262" s="522"/>
      <c r="C262" s="522"/>
      <c r="D262" s="522"/>
      <c r="E262" s="522"/>
      <c r="F262" s="522"/>
      <c r="G262" s="522"/>
    </row>
    <row r="263" spans="1:7">
      <c r="A263" s="522"/>
      <c r="B263" s="522"/>
      <c r="C263" s="522"/>
      <c r="D263" s="522"/>
      <c r="E263" s="522"/>
      <c r="F263" s="522"/>
      <c r="G263" s="522"/>
    </row>
    <row r="264" spans="1:7">
      <c r="A264" s="522"/>
      <c r="B264" s="522"/>
      <c r="C264" s="522"/>
      <c r="D264" s="522"/>
      <c r="E264" s="522"/>
      <c r="F264" s="522"/>
      <c r="G264" s="522"/>
    </row>
    <row r="265" spans="1:7">
      <c r="A265" s="522"/>
      <c r="B265" s="522"/>
      <c r="C265" s="522"/>
      <c r="D265" s="522"/>
      <c r="E265" s="522"/>
      <c r="F265" s="522"/>
      <c r="G265" s="522"/>
    </row>
    <row r="266" spans="1:7">
      <c r="A266" s="522"/>
      <c r="B266" s="522"/>
      <c r="C266" s="522"/>
      <c r="D266" s="522"/>
      <c r="E266" s="522"/>
      <c r="F266" s="522"/>
      <c r="G266" s="522"/>
    </row>
    <row r="267" spans="1:7">
      <c r="A267" s="522"/>
      <c r="B267" s="522"/>
      <c r="C267" s="522"/>
      <c r="D267" s="522"/>
      <c r="E267" s="522"/>
      <c r="F267" s="522"/>
      <c r="G267" s="522"/>
    </row>
    <row r="268" spans="1:7">
      <c r="A268" s="522"/>
      <c r="B268" s="522"/>
      <c r="C268" s="522"/>
      <c r="D268" s="522"/>
      <c r="E268" s="522"/>
      <c r="F268" s="522"/>
      <c r="G268" s="522"/>
    </row>
    <row r="269" spans="1:7">
      <c r="A269" s="522"/>
      <c r="B269" s="522"/>
      <c r="C269" s="522"/>
      <c r="D269" s="522"/>
      <c r="E269" s="522"/>
      <c r="F269" s="522"/>
      <c r="G269" s="522"/>
    </row>
    <row r="270" spans="1:7">
      <c r="A270" s="522"/>
      <c r="B270" s="522"/>
      <c r="C270" s="522"/>
      <c r="D270" s="522"/>
      <c r="E270" s="522"/>
      <c r="F270" s="522"/>
      <c r="G270" s="522"/>
    </row>
    <row r="271" spans="1:7">
      <c r="A271" s="522"/>
      <c r="B271" s="522"/>
      <c r="C271" s="522"/>
      <c r="D271" s="522"/>
      <c r="E271" s="522"/>
      <c r="F271" s="522"/>
      <c r="G271" s="522"/>
    </row>
    <row r="272" spans="1:7">
      <c r="A272" s="522"/>
      <c r="B272" s="522"/>
      <c r="C272" s="522"/>
      <c r="D272" s="522"/>
      <c r="E272" s="522"/>
      <c r="F272" s="522"/>
      <c r="G272" s="522"/>
    </row>
    <row r="273" spans="1:7">
      <c r="A273" s="522"/>
      <c r="B273" s="522"/>
      <c r="C273" s="522"/>
      <c r="D273" s="522"/>
      <c r="E273" s="522"/>
      <c r="F273" s="522"/>
      <c r="G273" s="522"/>
    </row>
    <row r="274" spans="1:7">
      <c r="A274" s="522"/>
      <c r="B274" s="522"/>
      <c r="C274" s="522"/>
      <c r="D274" s="522"/>
      <c r="E274" s="522"/>
      <c r="F274" s="522"/>
      <c r="G274" s="522"/>
    </row>
    <row r="275" spans="1:7">
      <c r="A275" s="522"/>
      <c r="B275" s="522"/>
      <c r="C275" s="522"/>
      <c r="D275" s="522"/>
      <c r="E275" s="522"/>
      <c r="F275" s="522"/>
      <c r="G275" s="522"/>
    </row>
    <row r="276" spans="1:7">
      <c r="A276" s="522"/>
      <c r="B276" s="522"/>
      <c r="C276" s="522"/>
      <c r="D276" s="522"/>
      <c r="E276" s="522"/>
      <c r="F276" s="522"/>
      <c r="G276" s="522"/>
    </row>
    <row r="277" spans="1:7">
      <c r="A277" s="522"/>
      <c r="B277" s="522"/>
      <c r="C277" s="522"/>
      <c r="D277" s="522"/>
      <c r="E277" s="522"/>
      <c r="F277" s="522"/>
      <c r="G277" s="522"/>
    </row>
    <row r="278" spans="1:7">
      <c r="A278" s="522"/>
      <c r="B278" s="522"/>
      <c r="C278" s="522"/>
      <c r="D278" s="522"/>
      <c r="E278" s="522"/>
      <c r="F278" s="522"/>
      <c r="G278" s="522"/>
    </row>
    <row r="279" spans="1:7">
      <c r="A279" s="522"/>
      <c r="B279" s="522"/>
      <c r="C279" s="522"/>
      <c r="D279" s="522"/>
      <c r="E279" s="522"/>
      <c r="F279" s="522"/>
      <c r="G279" s="522"/>
    </row>
    <row r="280" spans="1:7">
      <c r="A280" s="522"/>
      <c r="B280" s="522"/>
      <c r="C280" s="522"/>
      <c r="D280" s="522"/>
      <c r="E280" s="522"/>
      <c r="F280" s="522"/>
      <c r="G280" s="522"/>
    </row>
    <row r="281" spans="1:7">
      <c r="A281" s="522"/>
      <c r="B281" s="522"/>
      <c r="C281" s="522"/>
      <c r="D281" s="522"/>
      <c r="E281" s="522"/>
      <c r="F281" s="522"/>
      <c r="G281" s="522"/>
    </row>
    <row r="282" spans="1:7">
      <c r="A282" s="522"/>
      <c r="B282" s="522"/>
      <c r="C282" s="522"/>
      <c r="D282" s="522"/>
      <c r="E282" s="522"/>
      <c r="F282" s="522"/>
      <c r="G282" s="522"/>
    </row>
    <row r="283" spans="1:7">
      <c r="A283" s="522"/>
      <c r="B283" s="522"/>
      <c r="C283" s="522"/>
      <c r="D283" s="522"/>
      <c r="E283" s="522"/>
      <c r="F283" s="522"/>
      <c r="G283" s="522"/>
    </row>
    <row r="284" spans="1:7">
      <c r="A284" s="522"/>
      <c r="B284" s="522"/>
      <c r="C284" s="522"/>
      <c r="D284" s="522"/>
      <c r="E284" s="522"/>
      <c r="F284" s="522"/>
      <c r="G284" s="522"/>
    </row>
    <row r="285" spans="1:7">
      <c r="A285" s="522"/>
      <c r="B285" s="522"/>
      <c r="C285" s="522"/>
      <c r="D285" s="522"/>
      <c r="E285" s="522"/>
      <c r="F285" s="522"/>
      <c r="G285" s="522"/>
    </row>
    <row r="286" spans="1:7">
      <c r="A286" s="522"/>
      <c r="B286" s="522"/>
      <c r="C286" s="522"/>
      <c r="D286" s="522"/>
      <c r="E286" s="522"/>
      <c r="F286" s="522"/>
      <c r="G286" s="522"/>
    </row>
    <row r="287" spans="1:7">
      <c r="A287" s="522"/>
      <c r="B287" s="522"/>
      <c r="C287" s="522"/>
      <c r="D287" s="522"/>
      <c r="E287" s="522"/>
      <c r="F287" s="522"/>
      <c r="G287" s="522"/>
    </row>
    <row r="288" spans="1:7">
      <c r="A288" s="522"/>
      <c r="B288" s="522"/>
      <c r="C288" s="522"/>
      <c r="D288" s="522"/>
      <c r="E288" s="522"/>
      <c r="F288" s="522"/>
      <c r="G288" s="522"/>
    </row>
    <row r="289" spans="1:7">
      <c r="A289" s="522"/>
      <c r="B289" s="522"/>
      <c r="C289" s="522"/>
      <c r="D289" s="522"/>
      <c r="E289" s="522"/>
      <c r="F289" s="522"/>
      <c r="G289" s="522"/>
    </row>
    <row r="290" spans="1:7">
      <c r="A290" s="522"/>
      <c r="B290" s="522"/>
      <c r="C290" s="522"/>
      <c r="D290" s="522"/>
      <c r="E290" s="522"/>
      <c r="F290" s="522"/>
      <c r="G290" s="522"/>
    </row>
    <row r="291" spans="1:7">
      <c r="A291" s="522"/>
      <c r="B291" s="522"/>
      <c r="C291" s="522"/>
      <c r="D291" s="522"/>
      <c r="E291" s="522"/>
      <c r="F291" s="522"/>
      <c r="G291" s="522"/>
    </row>
    <row r="292" spans="1:7">
      <c r="A292" s="522"/>
      <c r="B292" s="522"/>
      <c r="C292" s="522"/>
      <c r="D292" s="522"/>
      <c r="E292" s="522"/>
      <c r="F292" s="522"/>
      <c r="G292" s="522"/>
    </row>
    <row r="293" spans="1:7">
      <c r="A293" s="522"/>
      <c r="B293" s="522"/>
      <c r="C293" s="522"/>
      <c r="D293" s="522"/>
      <c r="E293" s="522"/>
      <c r="F293" s="522"/>
      <c r="G293" s="522"/>
    </row>
    <row r="294" spans="1:7">
      <c r="A294" s="522"/>
      <c r="B294" s="522"/>
      <c r="C294" s="522"/>
      <c r="D294" s="522"/>
      <c r="E294" s="522"/>
      <c r="F294" s="522"/>
      <c r="G294" s="522"/>
    </row>
    <row r="295" spans="1:7">
      <c r="A295" s="522"/>
      <c r="B295" s="522"/>
      <c r="C295" s="522"/>
      <c r="D295" s="522"/>
      <c r="E295" s="522"/>
      <c r="F295" s="522"/>
      <c r="G295" s="522"/>
    </row>
    <row r="296" spans="1:7">
      <c r="A296" s="522"/>
      <c r="B296" s="522"/>
      <c r="C296" s="522"/>
      <c r="D296" s="522"/>
      <c r="E296" s="522"/>
      <c r="F296" s="522"/>
      <c r="G296" s="522"/>
    </row>
    <row r="297" spans="1:7">
      <c r="A297" s="522"/>
      <c r="B297" s="522"/>
      <c r="C297" s="522"/>
      <c r="D297" s="522"/>
      <c r="E297" s="522"/>
      <c r="F297" s="522"/>
      <c r="G297" s="522"/>
    </row>
    <row r="298" spans="1:7">
      <c r="A298" s="522"/>
      <c r="B298" s="522"/>
      <c r="C298" s="522"/>
      <c r="D298" s="522"/>
      <c r="E298" s="522"/>
      <c r="F298" s="522"/>
      <c r="G298" s="522"/>
    </row>
    <row r="299" spans="1:7">
      <c r="A299" s="522"/>
      <c r="B299" s="522"/>
      <c r="C299" s="522"/>
      <c r="D299" s="522"/>
      <c r="E299" s="522"/>
      <c r="F299" s="522"/>
      <c r="G299" s="522"/>
    </row>
    <row r="300" spans="1:7">
      <c r="A300" s="522"/>
      <c r="B300" s="522"/>
      <c r="C300" s="522"/>
      <c r="D300" s="522"/>
      <c r="E300" s="522"/>
      <c r="F300" s="522"/>
      <c r="G300" s="522"/>
    </row>
    <row r="301" spans="1:7">
      <c r="A301" s="522"/>
      <c r="B301" s="522"/>
      <c r="C301" s="522"/>
      <c r="D301" s="522"/>
      <c r="E301" s="522"/>
      <c r="F301" s="522"/>
      <c r="G301" s="522"/>
    </row>
    <row r="302" spans="1:7">
      <c r="A302" s="522"/>
      <c r="B302" s="522"/>
      <c r="C302" s="522"/>
      <c r="D302" s="522"/>
      <c r="E302" s="522"/>
      <c r="F302" s="522"/>
      <c r="G302" s="522"/>
    </row>
    <row r="303" spans="1:7">
      <c r="A303" s="522"/>
      <c r="B303" s="522"/>
      <c r="C303" s="522"/>
      <c r="D303" s="522"/>
      <c r="E303" s="522"/>
      <c r="F303" s="522"/>
      <c r="G303" s="522"/>
    </row>
    <row r="304" spans="1:7">
      <c r="A304" s="522"/>
      <c r="B304" s="522"/>
      <c r="C304" s="522"/>
      <c r="D304" s="522"/>
      <c r="E304" s="522"/>
      <c r="F304" s="522"/>
      <c r="G304" s="522"/>
    </row>
    <row r="305" spans="1:7">
      <c r="A305" s="522"/>
      <c r="B305" s="522"/>
      <c r="C305" s="522"/>
      <c r="D305" s="522"/>
      <c r="E305" s="522"/>
      <c r="F305" s="522"/>
      <c r="G305" s="522"/>
    </row>
    <row r="306" spans="1:7">
      <c r="A306" s="522"/>
      <c r="B306" s="522"/>
      <c r="C306" s="522"/>
      <c r="D306" s="522"/>
      <c r="E306" s="522"/>
      <c r="F306" s="522"/>
      <c r="G306" s="522"/>
    </row>
    <row r="307" spans="1:7">
      <c r="A307" s="522"/>
      <c r="B307" s="522"/>
      <c r="C307" s="522"/>
      <c r="D307" s="522"/>
      <c r="E307" s="522"/>
      <c r="F307" s="522"/>
      <c r="G307" s="522"/>
    </row>
    <row r="308" spans="1:7">
      <c r="A308" s="522"/>
      <c r="B308" s="522"/>
      <c r="C308" s="522"/>
      <c r="D308" s="522"/>
      <c r="E308" s="522"/>
      <c r="F308" s="522"/>
      <c r="G308" s="522"/>
    </row>
    <row r="309" spans="1:7">
      <c r="A309" s="522"/>
      <c r="B309" s="522"/>
      <c r="C309" s="522"/>
      <c r="D309" s="522"/>
      <c r="E309" s="522"/>
      <c r="F309" s="522"/>
      <c r="G309" s="522"/>
    </row>
    <row r="310" spans="1:7">
      <c r="A310" s="522"/>
      <c r="B310" s="522"/>
      <c r="C310" s="522"/>
      <c r="D310" s="522"/>
      <c r="E310" s="522"/>
      <c r="F310" s="522"/>
      <c r="G310" s="522"/>
    </row>
    <row r="311" spans="1:7">
      <c r="A311" s="522"/>
      <c r="B311" s="522"/>
      <c r="C311" s="522"/>
      <c r="D311" s="522"/>
      <c r="E311" s="522"/>
      <c r="F311" s="522"/>
      <c r="G311" s="522"/>
    </row>
    <row r="312" spans="1:7">
      <c r="A312" s="522"/>
      <c r="B312" s="522"/>
      <c r="C312" s="522"/>
      <c r="D312" s="522"/>
      <c r="E312" s="522"/>
      <c r="F312" s="522"/>
      <c r="G312" s="522"/>
    </row>
    <row r="313" spans="1:7">
      <c r="A313" s="522"/>
      <c r="B313" s="522"/>
      <c r="C313" s="522"/>
      <c r="D313" s="522"/>
      <c r="E313" s="522"/>
      <c r="F313" s="522"/>
      <c r="G313" s="522"/>
    </row>
    <row r="314" spans="1:7">
      <c r="A314" s="522"/>
      <c r="B314" s="522"/>
      <c r="C314" s="522"/>
      <c r="D314" s="522"/>
      <c r="E314" s="522"/>
      <c r="F314" s="522"/>
      <c r="G314" s="522"/>
    </row>
    <row r="315" spans="1:7">
      <c r="A315" s="522"/>
      <c r="B315" s="522"/>
      <c r="C315" s="522"/>
      <c r="D315" s="522"/>
      <c r="E315" s="522"/>
      <c r="F315" s="522"/>
      <c r="G315" s="522"/>
    </row>
    <row r="316" spans="1:7">
      <c r="A316" s="522"/>
      <c r="B316" s="522"/>
      <c r="C316" s="522"/>
      <c r="D316" s="522"/>
      <c r="E316" s="522"/>
      <c r="F316" s="522"/>
      <c r="G316" s="522"/>
    </row>
    <row r="317" spans="1:7">
      <c r="A317" s="522"/>
      <c r="B317" s="522"/>
      <c r="C317" s="522"/>
      <c r="D317" s="522"/>
      <c r="E317" s="522"/>
      <c r="F317" s="522"/>
      <c r="G317" s="522"/>
    </row>
    <row r="318" spans="1:7">
      <c r="A318" s="522"/>
      <c r="B318" s="522"/>
      <c r="C318" s="522"/>
      <c r="D318" s="522"/>
      <c r="E318" s="522"/>
      <c r="F318" s="522"/>
      <c r="G318" s="522"/>
    </row>
    <row r="319" spans="1:7">
      <c r="A319" s="522"/>
      <c r="B319" s="522"/>
      <c r="C319" s="522"/>
      <c r="D319" s="522"/>
      <c r="E319" s="522"/>
      <c r="F319" s="522"/>
      <c r="G319" s="522"/>
    </row>
    <row r="320" spans="1:7">
      <c r="A320" s="522"/>
      <c r="B320" s="522"/>
      <c r="C320" s="522"/>
      <c r="D320" s="522"/>
      <c r="E320" s="522"/>
      <c r="F320" s="522"/>
      <c r="G320" s="522"/>
    </row>
    <row r="321" spans="1:7">
      <c r="A321" s="522"/>
      <c r="B321" s="522"/>
      <c r="C321" s="522"/>
      <c r="D321" s="522"/>
      <c r="E321" s="522"/>
      <c r="F321" s="522"/>
      <c r="G321" s="522"/>
    </row>
    <row r="322" spans="1:7">
      <c r="A322" s="522"/>
      <c r="B322" s="522"/>
      <c r="C322" s="522"/>
      <c r="D322" s="522"/>
      <c r="E322" s="522"/>
      <c r="F322" s="522"/>
      <c r="G322" s="522"/>
    </row>
    <row r="323" spans="1:7">
      <c r="A323" s="522"/>
      <c r="B323" s="522"/>
      <c r="C323" s="522"/>
      <c r="D323" s="522"/>
      <c r="E323" s="522"/>
      <c r="F323" s="522"/>
      <c r="G323" s="522"/>
    </row>
    <row r="324" spans="1:7">
      <c r="A324" s="522"/>
      <c r="B324" s="522"/>
      <c r="C324" s="522"/>
      <c r="D324" s="522"/>
      <c r="E324" s="522"/>
      <c r="F324" s="522"/>
      <c r="G324" s="522"/>
    </row>
    <row r="325" spans="1:7">
      <c r="A325" s="522"/>
      <c r="B325" s="522"/>
      <c r="C325" s="522"/>
      <c r="D325" s="522"/>
      <c r="E325" s="522"/>
      <c r="F325" s="522"/>
      <c r="G325" s="522"/>
    </row>
    <row r="326" spans="1:7">
      <c r="A326" s="522"/>
      <c r="B326" s="522"/>
      <c r="C326" s="522"/>
      <c r="D326" s="522"/>
      <c r="E326" s="522"/>
      <c r="F326" s="522"/>
      <c r="G326" s="522"/>
    </row>
    <row r="327" spans="1:7">
      <c r="A327" s="522"/>
      <c r="B327" s="522"/>
      <c r="C327" s="522"/>
      <c r="D327" s="522"/>
      <c r="E327" s="522"/>
      <c r="F327" s="522"/>
      <c r="G327" s="522"/>
    </row>
    <row r="328" spans="1:7">
      <c r="A328" s="522"/>
      <c r="B328" s="522"/>
      <c r="C328" s="522"/>
      <c r="D328" s="522"/>
      <c r="E328" s="522"/>
      <c r="F328" s="522"/>
      <c r="G328" s="522"/>
    </row>
    <row r="329" spans="1:7">
      <c r="A329" s="522"/>
      <c r="B329" s="522"/>
      <c r="C329" s="522"/>
      <c r="D329" s="522"/>
      <c r="E329" s="522"/>
      <c r="F329" s="522"/>
      <c r="G329" s="522"/>
    </row>
    <row r="330" spans="1:7">
      <c r="A330" s="522"/>
      <c r="B330" s="522"/>
      <c r="C330" s="522"/>
      <c r="D330" s="522"/>
      <c r="E330" s="522"/>
      <c r="F330" s="522"/>
      <c r="G330" s="522"/>
    </row>
    <row r="331" spans="1:7">
      <c r="A331" s="522"/>
      <c r="B331" s="522"/>
      <c r="C331" s="522"/>
      <c r="D331" s="522"/>
      <c r="E331" s="522"/>
      <c r="F331" s="522"/>
      <c r="G331" s="522"/>
    </row>
    <row r="332" spans="1:7">
      <c r="A332" s="522"/>
      <c r="B332" s="522"/>
      <c r="C332" s="522"/>
      <c r="D332" s="522"/>
      <c r="E332" s="522"/>
      <c r="F332" s="522"/>
      <c r="G332" s="522"/>
    </row>
    <row r="333" spans="1:7">
      <c r="A333" s="522"/>
      <c r="B333" s="522"/>
      <c r="C333" s="522"/>
      <c r="D333" s="522"/>
      <c r="E333" s="522"/>
      <c r="F333" s="522"/>
      <c r="G333" s="522"/>
    </row>
    <row r="334" spans="1:7">
      <c r="A334" s="522"/>
      <c r="B334" s="522"/>
      <c r="C334" s="522"/>
      <c r="D334" s="522"/>
      <c r="E334" s="522"/>
      <c r="F334" s="522"/>
      <c r="G334" s="522"/>
    </row>
    <row r="335" spans="1:7">
      <c r="A335" s="522"/>
      <c r="B335" s="522"/>
      <c r="C335" s="522"/>
      <c r="D335" s="522"/>
      <c r="E335" s="522"/>
      <c r="F335" s="522"/>
      <c r="G335" s="522"/>
    </row>
    <row r="336" spans="1:7">
      <c r="A336" s="522"/>
      <c r="B336" s="522"/>
      <c r="C336" s="522"/>
      <c r="D336" s="522"/>
      <c r="E336" s="522"/>
      <c r="F336" s="522"/>
      <c r="G336" s="522"/>
    </row>
    <row r="337" spans="1:7">
      <c r="A337" s="522"/>
      <c r="B337" s="522"/>
      <c r="C337" s="522"/>
      <c r="D337" s="522"/>
      <c r="E337" s="522"/>
      <c r="F337" s="522"/>
      <c r="G337" s="522"/>
    </row>
    <row r="338" spans="1:7">
      <c r="A338" s="522"/>
      <c r="B338" s="522"/>
      <c r="C338" s="522"/>
      <c r="D338" s="522"/>
      <c r="E338" s="522"/>
      <c r="F338" s="522"/>
      <c r="G338" s="522"/>
    </row>
    <row r="339" spans="1:7">
      <c r="A339" s="522"/>
      <c r="B339" s="522"/>
      <c r="C339" s="522"/>
      <c r="D339" s="522"/>
      <c r="E339" s="522"/>
      <c r="F339" s="522"/>
      <c r="G339" s="522"/>
    </row>
    <row r="340" spans="1:7">
      <c r="A340" s="522"/>
      <c r="B340" s="522"/>
      <c r="C340" s="522"/>
      <c r="D340" s="522"/>
      <c r="E340" s="522"/>
      <c r="F340" s="522"/>
      <c r="G340" s="522"/>
    </row>
    <row r="341" spans="1:7">
      <c r="A341" s="522"/>
      <c r="B341" s="522"/>
      <c r="C341" s="522"/>
      <c r="D341" s="522"/>
      <c r="E341" s="522"/>
      <c r="F341" s="522"/>
      <c r="G341" s="522"/>
    </row>
    <row r="342" spans="1:7">
      <c r="A342" s="522"/>
      <c r="B342" s="522"/>
      <c r="C342" s="522"/>
      <c r="D342" s="522"/>
      <c r="E342" s="522"/>
      <c r="F342" s="522"/>
      <c r="G342" s="522"/>
    </row>
    <row r="343" spans="1:7">
      <c r="A343" s="522"/>
      <c r="B343" s="522"/>
      <c r="C343" s="522"/>
      <c r="D343" s="522"/>
      <c r="E343" s="522"/>
      <c r="F343" s="522"/>
      <c r="G343" s="522"/>
    </row>
    <row r="344" spans="1:7">
      <c r="A344" s="522"/>
      <c r="B344" s="522"/>
      <c r="C344" s="522"/>
      <c r="D344" s="522"/>
      <c r="E344" s="522"/>
      <c r="F344" s="522"/>
      <c r="G344" s="522"/>
    </row>
    <row r="345" spans="1:7">
      <c r="A345" s="522"/>
      <c r="B345" s="522"/>
      <c r="C345" s="522"/>
      <c r="D345" s="522"/>
      <c r="E345" s="522"/>
      <c r="F345" s="522"/>
      <c r="G345" s="522"/>
    </row>
    <row r="346" spans="1:7">
      <c r="A346" s="522"/>
      <c r="B346" s="522"/>
      <c r="C346" s="522"/>
      <c r="D346" s="522"/>
      <c r="E346" s="522"/>
      <c r="F346" s="522"/>
      <c r="G346" s="522"/>
    </row>
    <row r="347" spans="1:7">
      <c r="A347" s="522"/>
      <c r="B347" s="522"/>
      <c r="C347" s="522"/>
      <c r="D347" s="522"/>
      <c r="E347" s="522"/>
      <c r="F347" s="522"/>
      <c r="G347" s="522"/>
    </row>
    <row r="348" spans="1:7">
      <c r="A348" s="522"/>
      <c r="B348" s="522"/>
      <c r="C348" s="522"/>
      <c r="D348" s="522"/>
      <c r="E348" s="522"/>
      <c r="F348" s="522"/>
      <c r="G348" s="522"/>
    </row>
    <row r="349" spans="1:7">
      <c r="A349" s="522"/>
      <c r="B349" s="522"/>
      <c r="C349" s="522"/>
      <c r="D349" s="522"/>
      <c r="E349" s="522"/>
      <c r="F349" s="522"/>
      <c r="G349" s="522"/>
    </row>
    <row r="350" spans="1:7">
      <c r="A350" s="522"/>
      <c r="B350" s="522"/>
      <c r="C350" s="522"/>
      <c r="D350" s="522"/>
      <c r="E350" s="522"/>
      <c r="F350" s="522"/>
      <c r="G350" s="522"/>
    </row>
    <row r="351" spans="1:7">
      <c r="A351" s="522"/>
      <c r="B351" s="522"/>
      <c r="C351" s="522"/>
      <c r="D351" s="522"/>
      <c r="E351" s="522"/>
      <c r="F351" s="522"/>
      <c r="G351" s="522"/>
    </row>
    <row r="352" spans="1:7">
      <c r="A352" s="522"/>
      <c r="B352" s="522"/>
      <c r="C352" s="522"/>
      <c r="D352" s="522"/>
      <c r="E352" s="522"/>
      <c r="F352" s="522"/>
      <c r="G352" s="522"/>
    </row>
    <row r="353" spans="1:7">
      <c r="A353" s="522"/>
      <c r="B353" s="522"/>
      <c r="C353" s="522"/>
      <c r="D353" s="522"/>
      <c r="E353" s="522"/>
      <c r="F353" s="522"/>
      <c r="G353" s="522"/>
    </row>
    <row r="354" spans="1:7">
      <c r="A354" s="522"/>
      <c r="B354" s="522"/>
      <c r="C354" s="522"/>
      <c r="D354" s="522"/>
      <c r="E354" s="522"/>
      <c r="F354" s="522"/>
      <c r="G354" s="522"/>
    </row>
    <row r="355" spans="1:7">
      <c r="A355" s="522"/>
      <c r="B355" s="522"/>
      <c r="C355" s="522"/>
      <c r="D355" s="522"/>
      <c r="E355" s="522"/>
      <c r="F355" s="522"/>
      <c r="G355" s="522"/>
    </row>
    <row r="356" spans="1:7">
      <c r="A356" s="522"/>
      <c r="B356" s="522"/>
      <c r="C356" s="522"/>
      <c r="D356" s="522"/>
      <c r="E356" s="522"/>
      <c r="F356" s="522"/>
      <c r="G356" s="522"/>
    </row>
    <row r="357" spans="1:7">
      <c r="A357" s="522"/>
      <c r="B357" s="522"/>
      <c r="C357" s="522"/>
      <c r="D357" s="522"/>
      <c r="E357" s="522"/>
      <c r="F357" s="522"/>
      <c r="G357" s="522"/>
    </row>
    <row r="358" spans="1:7">
      <c r="A358" s="522"/>
      <c r="B358" s="522"/>
      <c r="C358" s="522"/>
      <c r="D358" s="522"/>
      <c r="E358" s="522"/>
      <c r="F358" s="522"/>
      <c r="G358" s="522"/>
    </row>
    <row r="359" spans="1:7">
      <c r="A359" s="522"/>
      <c r="B359" s="522"/>
      <c r="C359" s="522"/>
      <c r="D359" s="522"/>
      <c r="E359" s="522"/>
      <c r="F359" s="522"/>
      <c r="G359" s="522"/>
    </row>
    <row r="360" spans="1:7">
      <c r="A360" s="522"/>
      <c r="B360" s="522"/>
      <c r="C360" s="522"/>
      <c r="D360" s="522"/>
      <c r="E360" s="522"/>
      <c r="F360" s="522"/>
      <c r="G360" s="522"/>
    </row>
    <row r="361" spans="1:7">
      <c r="A361" s="522"/>
      <c r="B361" s="522"/>
      <c r="C361" s="522"/>
      <c r="D361" s="522"/>
      <c r="E361" s="522"/>
      <c r="F361" s="522"/>
      <c r="G361" s="522"/>
    </row>
    <row r="362" spans="1:7">
      <c r="A362" s="522"/>
      <c r="B362" s="522"/>
      <c r="C362" s="522"/>
      <c r="D362" s="522"/>
      <c r="E362" s="522"/>
      <c r="F362" s="522"/>
      <c r="G362" s="522"/>
    </row>
    <row r="363" spans="1:7">
      <c r="A363" s="522"/>
      <c r="B363" s="522"/>
      <c r="C363" s="522"/>
      <c r="D363" s="522"/>
      <c r="E363" s="522"/>
      <c r="F363" s="522"/>
      <c r="G363" s="522"/>
    </row>
    <row r="364" spans="1:7">
      <c r="A364" s="522"/>
      <c r="B364" s="522"/>
      <c r="C364" s="522"/>
      <c r="D364" s="522"/>
      <c r="E364" s="522"/>
      <c r="F364" s="522"/>
      <c r="G364" s="522"/>
    </row>
    <row r="365" spans="1:7">
      <c r="A365" s="522"/>
      <c r="B365" s="522"/>
      <c r="C365" s="522"/>
      <c r="D365" s="522"/>
      <c r="E365" s="522"/>
      <c r="F365" s="522"/>
      <c r="G365" s="522"/>
    </row>
    <row r="366" spans="1:7">
      <c r="A366" s="522"/>
      <c r="B366" s="522"/>
      <c r="C366" s="522"/>
      <c r="D366" s="522"/>
      <c r="E366" s="522"/>
      <c r="F366" s="522"/>
      <c r="G366" s="522"/>
    </row>
    <row r="367" spans="1:7">
      <c r="A367" s="522"/>
      <c r="B367" s="522"/>
      <c r="C367" s="522"/>
      <c r="D367" s="522"/>
      <c r="E367" s="522"/>
      <c r="F367" s="522"/>
      <c r="G367" s="522"/>
    </row>
    <row r="368" spans="1:7">
      <c r="A368" s="522"/>
      <c r="B368" s="522"/>
      <c r="C368" s="522"/>
      <c r="D368" s="522"/>
      <c r="E368" s="522"/>
      <c r="F368" s="522"/>
      <c r="G368" s="522"/>
    </row>
    <row r="369" spans="1:7">
      <c r="A369" s="522"/>
      <c r="B369" s="522"/>
      <c r="C369" s="522"/>
      <c r="D369" s="522"/>
      <c r="E369" s="522"/>
      <c r="F369" s="522"/>
      <c r="G369" s="522"/>
    </row>
    <row r="370" spans="1:7">
      <c r="A370" s="522"/>
      <c r="B370" s="522"/>
      <c r="C370" s="522"/>
      <c r="D370" s="522"/>
      <c r="E370" s="522"/>
      <c r="F370" s="522"/>
      <c r="G370" s="522"/>
    </row>
    <row r="371" spans="1:7">
      <c r="A371" s="522"/>
      <c r="B371" s="522"/>
      <c r="C371" s="522"/>
      <c r="D371" s="522"/>
      <c r="E371" s="522"/>
      <c r="F371" s="522"/>
      <c r="G371" s="522"/>
    </row>
    <row r="372" spans="1:7">
      <c r="A372" s="522"/>
      <c r="B372" s="522"/>
      <c r="C372" s="522"/>
      <c r="D372" s="522"/>
      <c r="E372" s="522"/>
      <c r="F372" s="522"/>
      <c r="G372" s="522"/>
    </row>
    <row r="373" spans="1:7">
      <c r="A373" s="522"/>
      <c r="B373" s="522"/>
      <c r="C373" s="522"/>
      <c r="D373" s="522"/>
      <c r="E373" s="522"/>
      <c r="F373" s="522"/>
      <c r="G373" s="522"/>
    </row>
    <row r="374" spans="1:7">
      <c r="A374" s="522"/>
      <c r="B374" s="522"/>
      <c r="C374" s="522"/>
      <c r="D374" s="522"/>
      <c r="E374" s="522"/>
      <c r="F374" s="522"/>
      <c r="G374" s="522"/>
    </row>
    <row r="375" spans="1:7">
      <c r="A375" s="522"/>
      <c r="B375" s="522"/>
      <c r="C375" s="522"/>
      <c r="D375" s="522"/>
      <c r="E375" s="522"/>
      <c r="F375" s="522"/>
      <c r="G375" s="522"/>
    </row>
    <row r="376" spans="1:7">
      <c r="A376" s="522"/>
      <c r="B376" s="522"/>
      <c r="C376" s="522"/>
      <c r="D376" s="522"/>
      <c r="E376" s="522"/>
      <c r="F376" s="522"/>
      <c r="G376" s="522"/>
    </row>
    <row r="377" spans="1:7">
      <c r="A377" s="522"/>
      <c r="B377" s="522"/>
      <c r="C377" s="522"/>
      <c r="D377" s="522"/>
      <c r="E377" s="522"/>
      <c r="F377" s="522"/>
      <c r="G377" s="522"/>
    </row>
    <row r="378" spans="1:7">
      <c r="A378" s="522"/>
      <c r="B378" s="522"/>
      <c r="C378" s="522"/>
      <c r="D378" s="522"/>
      <c r="E378" s="522"/>
      <c r="F378" s="522"/>
      <c r="G378" s="522"/>
    </row>
    <row r="379" spans="1:7">
      <c r="A379" s="522"/>
      <c r="B379" s="522"/>
      <c r="C379" s="522"/>
      <c r="D379" s="522"/>
      <c r="E379" s="522"/>
      <c r="F379" s="522"/>
      <c r="G379" s="522"/>
    </row>
    <row r="380" spans="1:7">
      <c r="A380" s="522"/>
      <c r="B380" s="522"/>
      <c r="C380" s="522"/>
      <c r="D380" s="522"/>
      <c r="E380" s="522"/>
      <c r="F380" s="522"/>
      <c r="G380" s="522"/>
    </row>
    <row r="381" spans="1:7">
      <c r="A381" s="522"/>
      <c r="B381" s="522"/>
      <c r="C381" s="522"/>
      <c r="D381" s="522"/>
      <c r="E381" s="522"/>
      <c r="F381" s="522"/>
      <c r="G381" s="522"/>
    </row>
    <row r="382" spans="1:7">
      <c r="A382" s="522"/>
      <c r="B382" s="522"/>
      <c r="C382" s="522"/>
      <c r="D382" s="522"/>
      <c r="E382" s="522"/>
      <c r="F382" s="522"/>
      <c r="G382" s="522"/>
    </row>
    <row r="383" spans="1:7">
      <c r="A383" s="522"/>
      <c r="B383" s="522"/>
      <c r="C383" s="522"/>
      <c r="D383" s="522"/>
      <c r="E383" s="522"/>
      <c r="F383" s="522"/>
      <c r="G383" s="522"/>
    </row>
    <row r="384" spans="1:7">
      <c r="A384" s="522"/>
      <c r="B384" s="522"/>
      <c r="C384" s="522"/>
      <c r="D384" s="522"/>
      <c r="E384" s="522"/>
      <c r="F384" s="522"/>
      <c r="G384" s="522"/>
    </row>
    <row r="385" spans="1:7">
      <c r="A385" s="522"/>
      <c r="B385" s="522"/>
      <c r="C385" s="522"/>
      <c r="D385" s="522"/>
      <c r="E385" s="522"/>
      <c r="F385" s="522"/>
      <c r="G385" s="522"/>
    </row>
    <row r="386" spans="1:7">
      <c r="A386" s="522"/>
      <c r="B386" s="522"/>
      <c r="C386" s="522"/>
      <c r="D386" s="522"/>
      <c r="E386" s="522"/>
      <c r="F386" s="522"/>
      <c r="G386" s="522"/>
    </row>
    <row r="387" spans="1:7">
      <c r="A387" s="522"/>
      <c r="B387" s="522"/>
      <c r="C387" s="522"/>
      <c r="D387" s="522"/>
      <c r="E387" s="522"/>
      <c r="F387" s="522"/>
      <c r="G387" s="522"/>
    </row>
    <row r="388" spans="1:7">
      <c r="A388" s="522"/>
      <c r="B388" s="522"/>
      <c r="C388" s="522"/>
      <c r="D388" s="522"/>
      <c r="E388" s="522"/>
      <c r="F388" s="522"/>
      <c r="G388" s="522"/>
    </row>
    <row r="389" spans="1:7">
      <c r="A389" s="522"/>
      <c r="B389" s="522"/>
      <c r="C389" s="522"/>
      <c r="D389" s="522"/>
      <c r="E389" s="522"/>
      <c r="F389" s="522"/>
      <c r="G389" s="522"/>
    </row>
    <row r="390" spans="1:7">
      <c r="A390" s="522"/>
      <c r="B390" s="522"/>
      <c r="C390" s="522"/>
      <c r="D390" s="522"/>
      <c r="E390" s="522"/>
      <c r="F390" s="522"/>
      <c r="G390" s="522"/>
    </row>
    <row r="391" spans="1:7">
      <c r="A391" s="522"/>
      <c r="B391" s="522"/>
      <c r="C391" s="522"/>
      <c r="D391" s="522"/>
      <c r="E391" s="522"/>
      <c r="F391" s="522"/>
      <c r="G391" s="522"/>
    </row>
    <row r="392" spans="1:7">
      <c r="A392" s="522"/>
      <c r="B392" s="522"/>
      <c r="C392" s="522"/>
      <c r="D392" s="522"/>
      <c r="E392" s="522"/>
      <c r="F392" s="522"/>
      <c r="G392" s="522"/>
    </row>
    <row r="393" spans="1:7">
      <c r="A393" s="522"/>
      <c r="B393" s="522"/>
      <c r="C393" s="522"/>
      <c r="D393" s="522"/>
      <c r="E393" s="522"/>
      <c r="F393" s="522"/>
      <c r="G393" s="522"/>
    </row>
    <row r="394" spans="1:7">
      <c r="A394" s="522"/>
      <c r="B394" s="522"/>
      <c r="C394" s="522"/>
      <c r="D394" s="522"/>
      <c r="E394" s="522"/>
      <c r="F394" s="522"/>
      <c r="G394" s="522"/>
    </row>
    <row r="395" spans="1:7">
      <c r="A395" s="522"/>
      <c r="B395" s="522"/>
      <c r="C395" s="522"/>
      <c r="D395" s="522"/>
      <c r="E395" s="522"/>
      <c r="F395" s="522"/>
      <c r="G395" s="522"/>
    </row>
    <row r="396" spans="1:7">
      <c r="A396" s="522"/>
      <c r="B396" s="522"/>
      <c r="C396" s="522"/>
      <c r="D396" s="522"/>
      <c r="E396" s="522"/>
      <c r="F396" s="522"/>
      <c r="G396" s="522"/>
    </row>
    <row r="397" spans="1:7">
      <c r="A397" s="522"/>
      <c r="B397" s="522"/>
      <c r="C397" s="522"/>
      <c r="D397" s="522"/>
      <c r="E397" s="522"/>
      <c r="F397" s="522"/>
      <c r="G397" s="522"/>
    </row>
    <row r="398" spans="1:7">
      <c r="A398" s="522"/>
      <c r="B398" s="522"/>
      <c r="C398" s="522"/>
      <c r="D398" s="522"/>
      <c r="E398" s="522"/>
      <c r="F398" s="522"/>
      <c r="G398" s="522"/>
    </row>
    <row r="399" spans="1:7">
      <c r="A399" s="522"/>
      <c r="B399" s="522"/>
      <c r="C399" s="522"/>
      <c r="D399" s="522"/>
      <c r="E399" s="522"/>
      <c r="F399" s="522"/>
      <c r="G399" s="522"/>
    </row>
    <row r="400" spans="1:7">
      <c r="A400" s="522"/>
      <c r="B400" s="522"/>
      <c r="C400" s="522"/>
      <c r="D400" s="522"/>
      <c r="E400" s="522"/>
      <c r="F400" s="522"/>
      <c r="G400" s="522"/>
    </row>
    <row r="401" spans="1:7">
      <c r="A401" s="522"/>
      <c r="B401" s="522"/>
      <c r="C401" s="522"/>
      <c r="D401" s="522"/>
      <c r="E401" s="522"/>
      <c r="F401" s="522"/>
      <c r="G401" s="522"/>
    </row>
    <row r="402" spans="1:7">
      <c r="A402" s="522"/>
      <c r="B402" s="522"/>
      <c r="C402" s="522"/>
      <c r="D402" s="522"/>
      <c r="E402" s="522"/>
      <c r="F402" s="522"/>
      <c r="G402" s="522"/>
    </row>
    <row r="403" spans="1:7">
      <c r="A403" s="522"/>
      <c r="B403" s="522"/>
      <c r="C403" s="522"/>
      <c r="D403" s="522"/>
      <c r="E403" s="522"/>
      <c r="F403" s="522"/>
      <c r="G403" s="522"/>
    </row>
    <row r="404" spans="1:7">
      <c r="A404" s="522"/>
      <c r="B404" s="522"/>
      <c r="C404" s="522"/>
      <c r="D404" s="522"/>
      <c r="E404" s="522"/>
      <c r="F404" s="522"/>
      <c r="G404" s="522"/>
    </row>
    <row r="405" spans="1:7">
      <c r="A405" s="522"/>
      <c r="B405" s="522"/>
      <c r="C405" s="522"/>
      <c r="D405" s="522"/>
      <c r="E405" s="522"/>
      <c r="F405" s="522"/>
      <c r="G405" s="522"/>
    </row>
    <row r="406" spans="1:7">
      <c r="A406" s="522"/>
      <c r="B406" s="522"/>
      <c r="C406" s="522"/>
      <c r="D406" s="522"/>
      <c r="E406" s="522"/>
      <c r="F406" s="522"/>
      <c r="G406" s="522"/>
    </row>
    <row r="407" spans="1:7">
      <c r="A407" s="522"/>
      <c r="B407" s="522"/>
      <c r="C407" s="522"/>
      <c r="D407" s="522"/>
      <c r="E407" s="522"/>
      <c r="F407" s="522"/>
      <c r="G407" s="522"/>
    </row>
    <row r="408" spans="1:7">
      <c r="A408" s="522"/>
      <c r="B408" s="522"/>
      <c r="C408" s="522"/>
      <c r="D408" s="522"/>
      <c r="E408" s="522"/>
      <c r="F408" s="522"/>
      <c r="G408" s="522"/>
    </row>
    <row r="409" spans="1:7">
      <c r="A409" s="522"/>
      <c r="B409" s="522"/>
      <c r="C409" s="522"/>
      <c r="D409" s="522"/>
      <c r="E409" s="522"/>
      <c r="F409" s="522"/>
      <c r="G409" s="522"/>
    </row>
    <row r="410" spans="1:7">
      <c r="A410" s="522"/>
      <c r="B410" s="522"/>
      <c r="C410" s="522"/>
      <c r="D410" s="522"/>
      <c r="E410" s="522"/>
      <c r="F410" s="522"/>
      <c r="G410" s="522"/>
    </row>
    <row r="411" spans="1:7">
      <c r="A411" s="522"/>
      <c r="B411" s="522"/>
      <c r="C411" s="522"/>
      <c r="D411" s="522"/>
      <c r="E411" s="522"/>
      <c r="F411" s="522"/>
      <c r="G411" s="522"/>
    </row>
    <row r="412" spans="1:7">
      <c r="A412" s="522"/>
      <c r="B412" s="522"/>
      <c r="C412" s="522"/>
      <c r="D412" s="522"/>
      <c r="E412" s="522"/>
      <c r="F412" s="522"/>
      <c r="G412" s="522"/>
    </row>
    <row r="413" spans="1:7">
      <c r="A413" s="522"/>
      <c r="B413" s="522"/>
      <c r="C413" s="522"/>
      <c r="D413" s="522"/>
      <c r="E413" s="522"/>
      <c r="F413" s="522"/>
      <c r="G413" s="522"/>
    </row>
    <row r="414" spans="1:7">
      <c r="A414" s="522"/>
      <c r="B414" s="522"/>
      <c r="C414" s="522"/>
      <c r="D414" s="522"/>
      <c r="E414" s="522"/>
      <c r="F414" s="522"/>
      <c r="G414" s="522"/>
    </row>
    <row r="415" spans="1:7">
      <c r="A415" s="522"/>
      <c r="B415" s="522"/>
      <c r="C415" s="522"/>
      <c r="D415" s="522"/>
      <c r="E415" s="522"/>
      <c r="F415" s="522"/>
      <c r="G415" s="522"/>
    </row>
    <row r="416" spans="1:7">
      <c r="A416" s="522"/>
      <c r="B416" s="522"/>
      <c r="C416" s="522"/>
      <c r="D416" s="522"/>
      <c r="E416" s="522"/>
      <c r="F416" s="522"/>
      <c r="G416" s="522"/>
    </row>
    <row r="417" spans="1:7">
      <c r="A417" s="522"/>
      <c r="B417" s="522"/>
      <c r="C417" s="522"/>
      <c r="D417" s="522"/>
      <c r="E417" s="522"/>
      <c r="F417" s="522"/>
      <c r="G417" s="522"/>
    </row>
    <row r="418" spans="1:7">
      <c r="A418" s="522"/>
      <c r="B418" s="522"/>
      <c r="C418" s="522"/>
      <c r="D418" s="522"/>
      <c r="E418" s="522"/>
      <c r="F418" s="522"/>
      <c r="G418" s="522"/>
    </row>
    <row r="419" spans="1:7">
      <c r="A419" s="522"/>
      <c r="B419" s="522"/>
      <c r="C419" s="522"/>
      <c r="D419" s="522"/>
      <c r="E419" s="522"/>
      <c r="F419" s="522"/>
      <c r="G419" s="522"/>
    </row>
    <row r="420" spans="1:7">
      <c r="A420" s="522"/>
      <c r="B420" s="522"/>
      <c r="C420" s="522"/>
      <c r="D420" s="522"/>
      <c r="E420" s="522"/>
      <c r="F420" s="522"/>
      <c r="G420" s="522"/>
    </row>
    <row r="421" spans="1:7">
      <c r="A421" s="522"/>
      <c r="B421" s="522"/>
      <c r="C421" s="522"/>
      <c r="D421" s="522"/>
      <c r="E421" s="522"/>
      <c r="F421" s="522"/>
      <c r="G421" s="522"/>
    </row>
    <row r="422" spans="1:7">
      <c r="A422" s="522"/>
      <c r="B422" s="522"/>
      <c r="C422" s="522"/>
      <c r="D422" s="522"/>
      <c r="E422" s="522"/>
      <c r="F422" s="522"/>
      <c r="G422" s="522"/>
    </row>
    <row r="423" spans="1:7">
      <c r="A423" s="522"/>
      <c r="B423" s="522"/>
      <c r="C423" s="522"/>
      <c r="D423" s="522"/>
      <c r="E423" s="522"/>
      <c r="F423" s="522"/>
      <c r="G423" s="522"/>
    </row>
    <row r="424" spans="1:7">
      <c r="A424" s="522"/>
      <c r="B424" s="522"/>
      <c r="C424" s="522"/>
      <c r="D424" s="522"/>
      <c r="E424" s="522"/>
      <c r="F424" s="522"/>
      <c r="G424" s="522"/>
    </row>
    <row r="425" spans="1:7">
      <c r="A425" s="522"/>
      <c r="B425" s="522"/>
      <c r="C425" s="522"/>
      <c r="D425" s="522"/>
      <c r="E425" s="522"/>
      <c r="F425" s="522"/>
      <c r="G425" s="522"/>
    </row>
    <row r="426" spans="1:7">
      <c r="A426" s="522"/>
      <c r="B426" s="522"/>
      <c r="C426" s="522"/>
      <c r="D426" s="522"/>
      <c r="E426" s="522"/>
      <c r="F426" s="522"/>
      <c r="G426" s="522"/>
    </row>
    <row r="427" spans="1:7">
      <c r="A427" s="522"/>
      <c r="B427" s="522"/>
      <c r="C427" s="522"/>
      <c r="D427" s="522"/>
      <c r="E427" s="522"/>
      <c r="F427" s="522"/>
      <c r="G427" s="522"/>
    </row>
    <row r="428" spans="1:7">
      <c r="A428" s="522"/>
      <c r="B428" s="522"/>
      <c r="C428" s="522"/>
      <c r="D428" s="522"/>
      <c r="E428" s="522"/>
      <c r="F428" s="522"/>
      <c r="G428" s="522"/>
    </row>
    <row r="429" spans="1:7">
      <c r="A429" s="522"/>
      <c r="B429" s="522"/>
      <c r="C429" s="522"/>
      <c r="D429" s="522"/>
      <c r="E429" s="522"/>
      <c r="F429" s="522"/>
      <c r="G429" s="522"/>
    </row>
    <row r="430" spans="1:7">
      <c r="A430" s="522"/>
      <c r="B430" s="522"/>
      <c r="C430" s="522"/>
      <c r="D430" s="522"/>
      <c r="E430" s="522"/>
      <c r="F430" s="522"/>
      <c r="G430" s="522"/>
    </row>
    <row r="431" spans="1:7">
      <c r="A431" s="522"/>
      <c r="B431" s="522"/>
      <c r="C431" s="522"/>
      <c r="D431" s="522"/>
      <c r="E431" s="522"/>
      <c r="F431" s="522"/>
      <c r="G431" s="522"/>
    </row>
    <row r="432" spans="1:7">
      <c r="A432" s="522"/>
      <c r="B432" s="522"/>
      <c r="C432" s="522"/>
      <c r="D432" s="522"/>
      <c r="E432" s="522"/>
      <c r="F432" s="522"/>
      <c r="G432" s="522"/>
    </row>
    <row r="433" spans="1:7">
      <c r="A433" s="522"/>
      <c r="B433" s="522"/>
      <c r="C433" s="522"/>
      <c r="D433" s="522"/>
      <c r="E433" s="522"/>
      <c r="F433" s="522"/>
      <c r="G433" s="522"/>
    </row>
    <row r="434" spans="1:7">
      <c r="A434" s="522"/>
      <c r="B434" s="522"/>
      <c r="C434" s="522"/>
      <c r="D434" s="522"/>
      <c r="E434" s="522"/>
      <c r="F434" s="522"/>
      <c r="G434" s="522"/>
    </row>
    <row r="435" spans="1:7">
      <c r="A435" s="522"/>
      <c r="B435" s="522"/>
      <c r="C435" s="522"/>
      <c r="D435" s="522"/>
      <c r="E435" s="522"/>
      <c r="F435" s="522"/>
      <c r="G435" s="522"/>
    </row>
    <row r="436" spans="1:7">
      <c r="A436" s="522"/>
      <c r="B436" s="522"/>
      <c r="C436" s="522"/>
      <c r="D436" s="522"/>
      <c r="E436" s="522"/>
      <c r="F436" s="522"/>
      <c r="G436" s="522"/>
    </row>
    <row r="437" spans="1:7">
      <c r="A437" s="522"/>
      <c r="B437" s="522"/>
      <c r="C437" s="522"/>
      <c r="D437" s="522"/>
      <c r="E437" s="522"/>
      <c r="F437" s="522"/>
      <c r="G437" s="522"/>
    </row>
    <row r="438" spans="1:7">
      <c r="A438" s="522"/>
      <c r="B438" s="522"/>
      <c r="C438" s="522"/>
      <c r="D438" s="522"/>
      <c r="E438" s="522"/>
      <c r="F438" s="522"/>
      <c r="G438" s="522"/>
    </row>
    <row r="439" spans="1:7">
      <c r="A439" s="522"/>
      <c r="B439" s="522"/>
      <c r="C439" s="522"/>
      <c r="D439" s="522"/>
      <c r="E439" s="522"/>
      <c r="F439" s="522"/>
      <c r="G439" s="522"/>
    </row>
    <row r="440" spans="1:7">
      <c r="A440" s="522"/>
      <c r="B440" s="522"/>
      <c r="C440" s="522"/>
      <c r="D440" s="522"/>
      <c r="E440" s="522"/>
      <c r="F440" s="522"/>
      <c r="G440" s="522"/>
    </row>
    <row r="441" spans="1:7">
      <c r="A441" s="522"/>
      <c r="B441" s="522"/>
      <c r="C441" s="522"/>
      <c r="D441" s="522"/>
      <c r="E441" s="522"/>
      <c r="F441" s="522"/>
      <c r="G441" s="522"/>
    </row>
    <row r="442" spans="1:7">
      <c r="A442" s="522"/>
      <c r="B442" s="522"/>
      <c r="C442" s="522"/>
      <c r="D442" s="522"/>
      <c r="E442" s="522"/>
      <c r="F442" s="522"/>
      <c r="G442" s="522"/>
    </row>
    <row r="443" spans="1:7">
      <c r="A443" s="522"/>
      <c r="B443" s="522"/>
      <c r="C443" s="522"/>
      <c r="D443" s="522"/>
      <c r="E443" s="522"/>
      <c r="F443" s="522"/>
      <c r="G443" s="522"/>
    </row>
    <row r="444" spans="1:7">
      <c r="A444" s="522"/>
      <c r="B444" s="522"/>
      <c r="C444" s="522"/>
      <c r="D444" s="522"/>
      <c r="E444" s="522"/>
      <c r="F444" s="522"/>
      <c r="G444" s="522"/>
    </row>
    <row r="445" spans="1:7">
      <c r="A445" s="522"/>
      <c r="B445" s="522"/>
      <c r="C445" s="522"/>
      <c r="D445" s="522"/>
      <c r="E445" s="522"/>
      <c r="F445" s="522"/>
      <c r="G445" s="522"/>
    </row>
    <row r="446" spans="1:7">
      <c r="A446" s="522"/>
      <c r="B446" s="522"/>
      <c r="C446" s="522"/>
      <c r="D446" s="522"/>
      <c r="E446" s="522"/>
      <c r="F446" s="522"/>
      <c r="G446" s="522"/>
    </row>
    <row r="447" spans="1:7">
      <c r="A447" s="522"/>
      <c r="B447" s="522"/>
      <c r="C447" s="522"/>
      <c r="D447" s="522"/>
      <c r="E447" s="522"/>
      <c r="F447" s="522"/>
      <c r="G447" s="522"/>
    </row>
    <row r="448" spans="1:7">
      <c r="A448" s="522"/>
      <c r="B448" s="522"/>
      <c r="C448" s="522"/>
      <c r="D448" s="522"/>
      <c r="E448" s="522"/>
      <c r="F448" s="522"/>
      <c r="G448" s="522"/>
    </row>
    <row r="449" spans="1:7">
      <c r="A449" s="522"/>
      <c r="B449" s="522"/>
      <c r="C449" s="522"/>
      <c r="D449" s="522"/>
      <c r="E449" s="522"/>
      <c r="F449" s="522"/>
      <c r="G449" s="522"/>
    </row>
    <row r="450" spans="1:7">
      <c r="A450" s="522"/>
      <c r="B450" s="522"/>
      <c r="C450" s="522"/>
      <c r="D450" s="522"/>
      <c r="E450" s="522"/>
      <c r="F450" s="522"/>
      <c r="G450" s="522"/>
    </row>
    <row r="451" spans="1:7">
      <c r="A451" s="522"/>
      <c r="B451" s="522"/>
      <c r="C451" s="522"/>
      <c r="D451" s="522"/>
      <c r="E451" s="522"/>
      <c r="F451" s="522"/>
      <c r="G451" s="522"/>
    </row>
    <row r="452" spans="1:7">
      <c r="A452" s="522"/>
      <c r="B452" s="522"/>
      <c r="C452" s="522"/>
      <c r="D452" s="522"/>
      <c r="E452" s="522"/>
      <c r="F452" s="522"/>
      <c r="G452" s="522"/>
    </row>
    <row r="453" spans="1:7">
      <c r="A453" s="522"/>
      <c r="B453" s="522"/>
      <c r="C453" s="522"/>
      <c r="D453" s="522"/>
      <c r="E453" s="522"/>
      <c r="F453" s="522"/>
      <c r="G453" s="522"/>
    </row>
    <row r="454" spans="1:7">
      <c r="A454" s="522"/>
      <c r="B454" s="522"/>
      <c r="C454" s="522"/>
      <c r="D454" s="522"/>
      <c r="E454" s="522"/>
      <c r="F454" s="522"/>
      <c r="G454" s="522"/>
    </row>
    <row r="455" spans="1:7">
      <c r="A455" s="522"/>
      <c r="B455" s="522"/>
      <c r="C455" s="522"/>
      <c r="D455" s="522"/>
      <c r="E455" s="522"/>
      <c r="F455" s="522"/>
      <c r="G455" s="522"/>
    </row>
    <row r="456" spans="1:7">
      <c r="A456" s="522"/>
      <c r="B456" s="522"/>
      <c r="C456" s="522"/>
      <c r="D456" s="522"/>
      <c r="E456" s="522"/>
      <c r="F456" s="522"/>
      <c r="G456" s="522"/>
    </row>
    <row r="457" spans="1:7">
      <c r="A457" s="522"/>
      <c r="B457" s="522"/>
      <c r="C457" s="522"/>
      <c r="D457" s="522"/>
      <c r="E457" s="522"/>
      <c r="F457" s="522"/>
      <c r="G457" s="522"/>
    </row>
    <row r="458" spans="1:7">
      <c r="A458" s="522"/>
      <c r="B458" s="522"/>
      <c r="C458" s="522"/>
      <c r="D458" s="522"/>
      <c r="E458" s="522"/>
      <c r="F458" s="522"/>
      <c r="G458" s="522"/>
    </row>
    <row r="459" spans="1:7">
      <c r="A459" s="522"/>
      <c r="B459" s="522"/>
      <c r="C459" s="522"/>
      <c r="D459" s="522"/>
      <c r="E459" s="522"/>
      <c r="F459" s="522"/>
      <c r="G459" s="522"/>
    </row>
    <row r="460" spans="1:7">
      <c r="A460" s="522"/>
      <c r="B460" s="522"/>
      <c r="C460" s="522"/>
      <c r="D460" s="522"/>
      <c r="E460" s="522"/>
      <c r="F460" s="522"/>
      <c r="G460" s="522"/>
    </row>
    <row r="461" spans="1:7">
      <c r="A461" s="522"/>
      <c r="B461" s="522"/>
      <c r="C461" s="522"/>
      <c r="D461" s="522"/>
      <c r="E461" s="522"/>
      <c r="F461" s="522"/>
      <c r="G461" s="522"/>
    </row>
    <row r="462" spans="1:7">
      <c r="A462" s="522"/>
      <c r="B462" s="522"/>
      <c r="C462" s="522"/>
      <c r="D462" s="522"/>
      <c r="E462" s="522"/>
      <c r="F462" s="522"/>
      <c r="G462" s="522"/>
    </row>
    <row r="463" spans="1:7">
      <c r="A463" s="522"/>
      <c r="B463" s="522"/>
      <c r="C463" s="522"/>
      <c r="D463" s="522"/>
      <c r="E463" s="522"/>
      <c r="F463" s="522"/>
      <c r="G463" s="522"/>
    </row>
    <row r="464" spans="1:7">
      <c r="A464" s="522"/>
      <c r="B464" s="522"/>
      <c r="C464" s="522"/>
      <c r="D464" s="522"/>
      <c r="E464" s="522"/>
      <c r="F464" s="522"/>
      <c r="G464" s="522"/>
    </row>
    <row r="465" spans="1:7">
      <c r="A465" s="522"/>
      <c r="B465" s="522"/>
      <c r="C465" s="522"/>
      <c r="D465" s="522"/>
      <c r="E465" s="522"/>
      <c r="F465" s="522"/>
      <c r="G465" s="522"/>
    </row>
    <row r="466" spans="1:7">
      <c r="A466" s="522"/>
      <c r="B466" s="522"/>
      <c r="C466" s="522"/>
      <c r="D466" s="522"/>
      <c r="E466" s="522"/>
      <c r="F466" s="522"/>
      <c r="G466" s="522"/>
    </row>
    <row r="467" spans="1:7">
      <c r="A467" s="522"/>
      <c r="B467" s="522"/>
      <c r="C467" s="522"/>
      <c r="D467" s="522"/>
      <c r="E467" s="522"/>
      <c r="F467" s="522"/>
      <c r="G467" s="522"/>
    </row>
    <row r="468" spans="1:7">
      <c r="A468" s="522"/>
      <c r="B468" s="522"/>
      <c r="C468" s="522"/>
      <c r="D468" s="522"/>
      <c r="E468" s="522"/>
      <c r="F468" s="522"/>
      <c r="G468" s="522"/>
    </row>
    <row r="469" spans="1:7">
      <c r="A469" s="522"/>
      <c r="B469" s="522"/>
      <c r="C469" s="522"/>
      <c r="D469" s="522"/>
      <c r="E469" s="522"/>
      <c r="F469" s="522"/>
      <c r="G469" s="522"/>
    </row>
    <row r="470" spans="1:7">
      <c r="A470" s="522"/>
      <c r="B470" s="522"/>
      <c r="C470" s="522"/>
      <c r="D470" s="522"/>
      <c r="E470" s="522"/>
      <c r="F470" s="522"/>
      <c r="G470" s="522"/>
    </row>
    <row r="471" spans="1:7">
      <c r="A471" s="522"/>
      <c r="B471" s="522"/>
      <c r="C471" s="522"/>
      <c r="D471" s="522"/>
      <c r="E471" s="522"/>
      <c r="F471" s="522"/>
      <c r="G471" s="522"/>
    </row>
    <row r="472" spans="1:7">
      <c r="A472" s="522"/>
      <c r="B472" s="522"/>
      <c r="C472" s="522"/>
      <c r="D472" s="522"/>
      <c r="E472" s="522"/>
      <c r="F472" s="522"/>
      <c r="G472" s="522"/>
    </row>
    <row r="473" spans="1:7">
      <c r="A473" s="522"/>
      <c r="B473" s="522"/>
      <c r="C473" s="522"/>
      <c r="D473" s="522"/>
      <c r="E473" s="522"/>
      <c r="F473" s="522"/>
      <c r="G473" s="522"/>
    </row>
    <row r="474" spans="1:7">
      <c r="A474" s="522"/>
      <c r="B474" s="522"/>
      <c r="C474" s="522"/>
      <c r="D474" s="522"/>
      <c r="E474" s="522"/>
      <c r="F474" s="522"/>
      <c r="G474" s="522"/>
    </row>
    <row r="475" spans="1:7">
      <c r="A475" s="522"/>
      <c r="B475" s="522"/>
      <c r="C475" s="522"/>
      <c r="D475" s="522"/>
      <c r="E475" s="522"/>
      <c r="F475" s="522"/>
      <c r="G475" s="522"/>
    </row>
    <row r="476" spans="1:7">
      <c r="A476" s="522"/>
      <c r="B476" s="522"/>
      <c r="C476" s="522"/>
      <c r="D476" s="522"/>
      <c r="E476" s="522"/>
      <c r="F476" s="522"/>
      <c r="G476" s="522"/>
    </row>
    <row r="477" spans="1:7">
      <c r="A477" s="522"/>
      <c r="B477" s="522"/>
      <c r="C477" s="522"/>
      <c r="D477" s="522"/>
      <c r="E477" s="522"/>
      <c r="F477" s="522"/>
      <c r="G477" s="522"/>
    </row>
    <row r="478" spans="1:7">
      <c r="A478" s="522"/>
      <c r="B478" s="522"/>
      <c r="C478" s="522"/>
      <c r="D478" s="522"/>
      <c r="E478" s="522"/>
      <c r="F478" s="522"/>
      <c r="G478" s="522"/>
    </row>
    <row r="479" spans="1:7">
      <c r="A479" s="522"/>
      <c r="B479" s="522"/>
      <c r="C479" s="522"/>
      <c r="D479" s="522"/>
      <c r="E479" s="522"/>
      <c r="F479" s="522"/>
      <c r="G479" s="522"/>
    </row>
    <row r="480" spans="1:7">
      <c r="A480" s="522"/>
      <c r="B480" s="522"/>
      <c r="C480" s="522"/>
      <c r="D480" s="522"/>
      <c r="E480" s="522"/>
      <c r="F480" s="522"/>
      <c r="G480" s="522"/>
    </row>
    <row r="481" spans="1:7">
      <c r="A481" s="522"/>
      <c r="B481" s="522"/>
      <c r="C481" s="522"/>
      <c r="D481" s="522"/>
      <c r="E481" s="522"/>
      <c r="F481" s="522"/>
      <c r="G481" s="522"/>
    </row>
    <row r="482" spans="1:7">
      <c r="A482" s="522"/>
      <c r="B482" s="522"/>
      <c r="C482" s="522"/>
      <c r="D482" s="522"/>
      <c r="E482" s="522"/>
      <c r="F482" s="522"/>
      <c r="G482" s="522"/>
    </row>
    <row r="483" spans="1:7">
      <c r="A483" s="522"/>
      <c r="B483" s="522"/>
      <c r="C483" s="522"/>
      <c r="D483" s="522"/>
      <c r="E483" s="522"/>
      <c r="F483" s="522"/>
      <c r="G483" s="522"/>
    </row>
    <row r="484" spans="1:7">
      <c r="A484" s="522"/>
      <c r="B484" s="522"/>
      <c r="C484" s="522"/>
      <c r="D484" s="522"/>
      <c r="E484" s="522"/>
      <c r="F484" s="522"/>
      <c r="G484" s="522"/>
    </row>
    <row r="485" spans="1:7">
      <c r="A485" s="522"/>
      <c r="B485" s="522"/>
      <c r="C485" s="522"/>
      <c r="D485" s="522"/>
      <c r="E485" s="522"/>
      <c r="F485" s="522"/>
      <c r="G485" s="522"/>
    </row>
    <row r="486" spans="1:7">
      <c r="A486" s="522"/>
      <c r="B486" s="522"/>
      <c r="C486" s="522"/>
      <c r="D486" s="522"/>
      <c r="E486" s="522"/>
      <c r="F486" s="522"/>
      <c r="G486" s="522"/>
    </row>
    <row r="487" spans="1:7">
      <c r="A487" s="522"/>
      <c r="B487" s="522"/>
      <c r="C487" s="522"/>
      <c r="D487" s="522"/>
      <c r="E487" s="522"/>
      <c r="F487" s="522"/>
      <c r="G487" s="522"/>
    </row>
    <row r="488" spans="1:7">
      <c r="A488" s="522"/>
      <c r="B488" s="522"/>
      <c r="C488" s="522"/>
      <c r="D488" s="522"/>
      <c r="E488" s="522"/>
      <c r="F488" s="522"/>
      <c r="G488" s="522"/>
    </row>
    <row r="489" spans="1:7">
      <c r="A489" s="522"/>
      <c r="B489" s="522"/>
      <c r="C489" s="522"/>
      <c r="D489" s="522"/>
      <c r="E489" s="522"/>
      <c r="F489" s="522"/>
      <c r="G489" s="522"/>
    </row>
    <row r="490" spans="1:7">
      <c r="A490" s="522"/>
      <c r="B490" s="522"/>
      <c r="C490" s="522"/>
      <c r="D490" s="522"/>
      <c r="E490" s="522"/>
      <c r="F490" s="522"/>
      <c r="G490" s="522"/>
    </row>
    <row r="491" spans="1:7">
      <c r="A491" s="522"/>
      <c r="B491" s="522"/>
      <c r="C491" s="522"/>
      <c r="D491" s="522"/>
      <c r="E491" s="522"/>
      <c r="F491" s="522"/>
      <c r="G491" s="522"/>
    </row>
    <row r="492" spans="1:7">
      <c r="A492" s="522"/>
      <c r="B492" s="522"/>
      <c r="C492" s="522"/>
      <c r="D492" s="522"/>
      <c r="E492" s="522"/>
      <c r="F492" s="522"/>
      <c r="G492" s="522"/>
    </row>
    <row r="493" spans="1:7">
      <c r="A493" s="522"/>
      <c r="B493" s="522"/>
      <c r="C493" s="522"/>
      <c r="D493" s="522"/>
      <c r="E493" s="522"/>
      <c r="F493" s="522"/>
      <c r="G493" s="522"/>
    </row>
    <row r="494" spans="1:7">
      <c r="A494" s="522"/>
      <c r="B494" s="522"/>
      <c r="C494" s="522"/>
      <c r="D494" s="522"/>
      <c r="E494" s="522"/>
      <c r="F494" s="522"/>
      <c r="G494" s="522"/>
    </row>
    <row r="495" spans="1:7">
      <c r="A495" s="522"/>
      <c r="B495" s="522"/>
      <c r="C495" s="522"/>
      <c r="D495" s="522"/>
      <c r="E495" s="522"/>
      <c r="F495" s="522"/>
      <c r="G495" s="522"/>
    </row>
    <row r="496" spans="1:7">
      <c r="A496" s="522"/>
      <c r="B496" s="522"/>
      <c r="C496" s="522"/>
      <c r="D496" s="522"/>
      <c r="E496" s="522"/>
      <c r="F496" s="522"/>
      <c r="G496" s="522"/>
    </row>
    <row r="497" spans="1:7">
      <c r="A497" s="522"/>
      <c r="B497" s="522"/>
      <c r="C497" s="522"/>
      <c r="D497" s="522"/>
      <c r="E497" s="522"/>
      <c r="F497" s="522"/>
      <c r="G497" s="522"/>
    </row>
    <row r="498" spans="1:7">
      <c r="A498" s="522"/>
      <c r="B498" s="522"/>
      <c r="C498" s="522"/>
      <c r="D498" s="522"/>
      <c r="E498" s="522"/>
      <c r="F498" s="522"/>
      <c r="G498" s="522"/>
    </row>
    <row r="499" spans="1:7">
      <c r="A499" s="522"/>
      <c r="B499" s="522"/>
      <c r="C499" s="522"/>
      <c r="D499" s="522"/>
      <c r="E499" s="522"/>
      <c r="F499" s="522"/>
      <c r="G499" s="522"/>
    </row>
    <row r="500" spans="1:7">
      <c r="A500" s="522"/>
      <c r="B500" s="522"/>
      <c r="C500" s="522"/>
      <c r="D500" s="522"/>
      <c r="E500" s="522"/>
      <c r="F500" s="522"/>
      <c r="G500" s="522"/>
    </row>
    <row r="501" spans="1:7">
      <c r="A501" s="522"/>
      <c r="B501" s="522"/>
      <c r="C501" s="522"/>
      <c r="D501" s="522"/>
      <c r="E501" s="522"/>
      <c r="F501" s="522"/>
      <c r="G501" s="522"/>
    </row>
    <row r="502" spans="1:7">
      <c r="A502" s="522"/>
      <c r="B502" s="522"/>
      <c r="C502" s="522"/>
      <c r="D502" s="522"/>
      <c r="E502" s="522"/>
      <c r="F502" s="522"/>
      <c r="G502" s="522"/>
    </row>
    <row r="503" spans="1:7">
      <c r="A503" s="522"/>
      <c r="B503" s="522"/>
      <c r="C503" s="522"/>
      <c r="D503" s="522"/>
      <c r="E503" s="522"/>
      <c r="F503" s="522"/>
      <c r="G503" s="522"/>
    </row>
    <row r="504" spans="1:7">
      <c r="A504" s="522"/>
      <c r="B504" s="522"/>
      <c r="C504" s="522"/>
      <c r="D504" s="522"/>
      <c r="E504" s="522"/>
      <c r="F504" s="522"/>
      <c r="G504" s="522"/>
    </row>
    <row r="505" spans="1:7">
      <c r="A505" s="522"/>
      <c r="B505" s="522"/>
      <c r="C505" s="522"/>
      <c r="D505" s="522"/>
      <c r="E505" s="522"/>
      <c r="F505" s="522"/>
      <c r="G505" s="522"/>
    </row>
    <row r="506" spans="1:7">
      <c r="A506" s="522"/>
      <c r="B506" s="522"/>
      <c r="C506" s="522"/>
      <c r="D506" s="522"/>
      <c r="E506" s="522"/>
      <c r="F506" s="522"/>
      <c r="G506" s="522"/>
    </row>
    <row r="507" spans="1:7">
      <c r="A507" s="522"/>
      <c r="B507" s="522"/>
      <c r="C507" s="522"/>
      <c r="D507" s="522"/>
      <c r="E507" s="522"/>
      <c r="F507" s="522"/>
      <c r="G507" s="522"/>
    </row>
    <row r="508" spans="1:7">
      <c r="A508" s="522"/>
      <c r="B508" s="522"/>
      <c r="C508" s="522"/>
      <c r="D508" s="522"/>
      <c r="E508" s="522"/>
      <c r="F508" s="522"/>
      <c r="G508" s="522"/>
    </row>
    <row r="509" spans="1:7">
      <c r="A509" s="522"/>
      <c r="B509" s="522"/>
      <c r="C509" s="522"/>
      <c r="D509" s="522"/>
      <c r="E509" s="522"/>
      <c r="F509" s="522"/>
      <c r="G509" s="522"/>
    </row>
    <row r="510" spans="1:7">
      <c r="A510" s="522"/>
      <c r="B510" s="522"/>
      <c r="C510" s="522"/>
      <c r="D510" s="522"/>
      <c r="E510" s="522"/>
      <c r="F510" s="522"/>
      <c r="G510" s="522"/>
    </row>
    <row r="511" spans="1:7">
      <c r="A511" s="522"/>
      <c r="B511" s="522"/>
      <c r="C511" s="522"/>
      <c r="D511" s="522"/>
      <c r="E511" s="522"/>
      <c r="F511" s="522"/>
      <c r="G511" s="522"/>
    </row>
    <row r="512" spans="1:7">
      <c r="A512" s="522"/>
      <c r="B512" s="522"/>
      <c r="C512" s="522"/>
      <c r="D512" s="522"/>
      <c r="E512" s="522"/>
      <c r="F512" s="522"/>
      <c r="G512" s="522"/>
    </row>
    <row r="513" spans="1:7">
      <c r="A513" s="522"/>
      <c r="B513" s="522"/>
      <c r="C513" s="522"/>
      <c r="D513" s="522"/>
      <c r="E513" s="522"/>
      <c r="F513" s="522"/>
      <c r="G513" s="522"/>
    </row>
    <row r="514" spans="1:7">
      <c r="A514" s="522"/>
      <c r="B514" s="522"/>
      <c r="C514" s="522"/>
      <c r="D514" s="522"/>
      <c r="E514" s="522"/>
      <c r="F514" s="522"/>
      <c r="G514" s="522"/>
    </row>
    <row r="515" spans="1:7">
      <c r="A515" s="522"/>
      <c r="B515" s="522"/>
      <c r="C515" s="522"/>
      <c r="D515" s="522"/>
      <c r="E515" s="522"/>
      <c r="F515" s="522"/>
      <c r="G515" s="522"/>
    </row>
    <row r="516" spans="1:7">
      <c r="A516" s="522"/>
      <c r="B516" s="522"/>
      <c r="C516" s="522"/>
      <c r="D516" s="522"/>
      <c r="E516" s="522"/>
      <c r="F516" s="522"/>
      <c r="G516" s="522"/>
    </row>
    <row r="517" spans="1:7">
      <c r="A517" s="522"/>
      <c r="B517" s="522"/>
      <c r="C517" s="522"/>
      <c r="D517" s="522"/>
      <c r="E517" s="522"/>
      <c r="F517" s="522"/>
      <c r="G517" s="522"/>
    </row>
    <row r="518" spans="1:7">
      <c r="A518" s="522"/>
      <c r="B518" s="522"/>
      <c r="C518" s="522"/>
      <c r="D518" s="522"/>
      <c r="E518" s="522"/>
      <c r="F518" s="522"/>
      <c r="G518" s="522"/>
    </row>
    <row r="519" spans="1:7">
      <c r="A519" s="522"/>
      <c r="B519" s="522"/>
      <c r="C519" s="522"/>
      <c r="D519" s="522"/>
      <c r="E519" s="522"/>
      <c r="F519" s="522"/>
      <c r="G519" s="522"/>
    </row>
    <row r="520" spans="1:7">
      <c r="A520" s="522"/>
      <c r="B520" s="522"/>
      <c r="C520" s="522"/>
      <c r="D520" s="522"/>
      <c r="E520" s="522"/>
      <c r="F520" s="522"/>
      <c r="G520" s="522"/>
    </row>
    <row r="521" spans="1:7">
      <c r="A521" s="522"/>
      <c r="B521" s="522"/>
      <c r="C521" s="522"/>
      <c r="D521" s="522"/>
      <c r="E521" s="522"/>
      <c r="F521" s="522"/>
      <c r="G521" s="522"/>
    </row>
    <row r="522" spans="1:7">
      <c r="A522" s="522"/>
      <c r="B522" s="522"/>
      <c r="C522" s="522"/>
      <c r="D522" s="522"/>
      <c r="E522" s="522"/>
      <c r="F522" s="522"/>
      <c r="G522" s="522"/>
    </row>
    <row r="523" spans="1:7">
      <c r="A523" s="522"/>
      <c r="B523" s="522"/>
      <c r="C523" s="522"/>
      <c r="D523" s="522"/>
      <c r="E523" s="522"/>
      <c r="F523" s="522"/>
      <c r="G523" s="522"/>
    </row>
    <row r="524" spans="1:7">
      <c r="A524" s="522"/>
      <c r="B524" s="522"/>
      <c r="C524" s="522"/>
      <c r="D524" s="522"/>
      <c r="E524" s="522"/>
      <c r="F524" s="522"/>
      <c r="G524" s="522"/>
    </row>
    <row r="525" spans="1:7">
      <c r="A525" s="522"/>
      <c r="B525" s="522"/>
      <c r="C525" s="522"/>
      <c r="D525" s="522"/>
      <c r="E525" s="522"/>
      <c r="F525" s="522"/>
      <c r="G525" s="522"/>
    </row>
    <row r="526" spans="1:7">
      <c r="A526" s="522"/>
      <c r="B526" s="522"/>
      <c r="C526" s="522"/>
      <c r="D526" s="522"/>
      <c r="E526" s="522"/>
      <c r="F526" s="522"/>
      <c r="G526" s="522"/>
    </row>
    <row r="527" spans="1:7">
      <c r="A527" s="522"/>
      <c r="B527" s="522"/>
      <c r="C527" s="522"/>
      <c r="D527" s="522"/>
      <c r="E527" s="522"/>
      <c r="F527" s="522"/>
      <c r="G527" s="522"/>
    </row>
    <row r="528" spans="1:7">
      <c r="A528" s="522"/>
      <c r="B528" s="522"/>
      <c r="C528" s="522"/>
      <c r="D528" s="522"/>
      <c r="E528" s="522"/>
      <c r="F528" s="522"/>
      <c r="G528" s="522"/>
    </row>
    <row r="529" spans="1:7">
      <c r="A529" s="522"/>
      <c r="B529" s="522"/>
      <c r="C529" s="522"/>
      <c r="D529" s="522"/>
      <c r="E529" s="522"/>
      <c r="F529" s="522"/>
      <c r="G529" s="522"/>
    </row>
    <row r="530" spans="1:7">
      <c r="A530" s="522"/>
      <c r="B530" s="522"/>
      <c r="C530" s="522"/>
      <c r="D530" s="522"/>
      <c r="E530" s="522"/>
      <c r="F530" s="522"/>
      <c r="G530" s="522"/>
    </row>
    <row r="531" spans="1:7">
      <c r="A531" s="522"/>
      <c r="B531" s="522"/>
      <c r="C531" s="522"/>
      <c r="D531" s="522"/>
      <c r="E531" s="522"/>
      <c r="F531" s="522"/>
      <c r="G531" s="522"/>
    </row>
    <row r="532" spans="1:7">
      <c r="A532" s="522"/>
      <c r="B532" s="522"/>
      <c r="C532" s="522"/>
      <c r="D532" s="522"/>
      <c r="E532" s="522"/>
      <c r="F532" s="522"/>
      <c r="G532" s="522"/>
    </row>
    <row r="533" spans="1:7">
      <c r="A533" s="522"/>
      <c r="B533" s="522"/>
      <c r="C533" s="522"/>
      <c r="D533" s="522"/>
      <c r="E533" s="522"/>
      <c r="F533" s="522"/>
      <c r="G533" s="522"/>
    </row>
    <row r="534" spans="1:7">
      <c r="A534" s="522"/>
      <c r="B534" s="522"/>
      <c r="C534" s="522"/>
      <c r="D534" s="522"/>
      <c r="E534" s="522"/>
      <c r="F534" s="522"/>
      <c r="G534" s="522"/>
    </row>
    <row r="535" spans="1:7">
      <c r="A535" s="522"/>
      <c r="B535" s="522"/>
      <c r="C535" s="522"/>
      <c r="D535" s="522"/>
      <c r="E535" s="522"/>
      <c r="F535" s="522"/>
      <c r="G535" s="522"/>
    </row>
    <row r="536" spans="1:7">
      <c r="A536" s="522"/>
      <c r="B536" s="522"/>
      <c r="C536" s="522"/>
      <c r="D536" s="522"/>
      <c r="E536" s="522"/>
      <c r="F536" s="522"/>
      <c r="G536" s="522"/>
    </row>
    <row r="537" spans="1:7">
      <c r="A537" s="522"/>
      <c r="B537" s="522"/>
      <c r="C537" s="522"/>
      <c r="D537" s="522"/>
      <c r="E537" s="522"/>
      <c r="F537" s="522"/>
      <c r="G537" s="522"/>
    </row>
    <row r="538" spans="1:7">
      <c r="A538" s="522"/>
      <c r="B538" s="522"/>
      <c r="C538" s="522"/>
      <c r="D538" s="522"/>
      <c r="E538" s="522"/>
      <c r="F538" s="522"/>
      <c r="G538" s="522"/>
    </row>
    <row r="539" spans="1:7">
      <c r="A539" s="522"/>
      <c r="B539" s="522"/>
      <c r="C539" s="522"/>
      <c r="D539" s="522"/>
      <c r="E539" s="522"/>
      <c r="F539" s="522"/>
      <c r="G539" s="522"/>
    </row>
    <row r="540" spans="1:7">
      <c r="A540" s="522"/>
      <c r="B540" s="522"/>
      <c r="C540" s="522"/>
      <c r="D540" s="522"/>
      <c r="E540" s="522"/>
      <c r="F540" s="522"/>
      <c r="G540" s="522"/>
    </row>
    <row r="541" spans="1:7">
      <c r="A541" s="522"/>
      <c r="B541" s="522"/>
      <c r="C541" s="522"/>
      <c r="D541" s="522"/>
      <c r="E541" s="522"/>
      <c r="F541" s="522"/>
      <c r="G541" s="522"/>
    </row>
    <row r="542" spans="1:7">
      <c r="A542" s="522"/>
      <c r="B542" s="522"/>
      <c r="C542" s="522"/>
      <c r="D542" s="522"/>
      <c r="E542" s="522"/>
      <c r="F542" s="522"/>
      <c r="G542" s="522"/>
    </row>
    <row r="543" spans="1:7">
      <c r="A543" s="522"/>
      <c r="B543" s="522"/>
      <c r="C543" s="522"/>
      <c r="D543" s="522"/>
      <c r="E543" s="522"/>
      <c r="F543" s="522"/>
      <c r="G543" s="522"/>
    </row>
    <row r="544" spans="1:7">
      <c r="A544" s="522"/>
      <c r="B544" s="522"/>
      <c r="C544" s="522"/>
      <c r="D544" s="522"/>
      <c r="E544" s="522"/>
      <c r="F544" s="522"/>
      <c r="G544" s="522"/>
    </row>
    <row r="545" spans="1:7">
      <c r="A545" s="522"/>
      <c r="B545" s="522"/>
      <c r="C545" s="522"/>
      <c r="D545" s="522"/>
      <c r="E545" s="522"/>
      <c r="F545" s="522"/>
      <c r="G545" s="522"/>
    </row>
    <row r="546" spans="1:7">
      <c r="A546" s="522"/>
      <c r="B546" s="522"/>
      <c r="C546" s="522"/>
      <c r="D546" s="522"/>
      <c r="E546" s="522"/>
      <c r="F546" s="522"/>
      <c r="G546" s="522"/>
    </row>
    <row r="547" spans="1:7">
      <c r="A547" s="522"/>
      <c r="B547" s="522"/>
      <c r="C547" s="522"/>
      <c r="D547" s="522"/>
      <c r="E547" s="522"/>
      <c r="F547" s="522"/>
      <c r="G547" s="522"/>
    </row>
    <row r="548" spans="1:7">
      <c r="A548" s="522"/>
      <c r="B548" s="522"/>
      <c r="C548" s="522"/>
      <c r="D548" s="522"/>
      <c r="E548" s="522"/>
      <c r="F548" s="522"/>
      <c r="G548" s="522"/>
    </row>
    <row r="549" spans="1:7">
      <c r="A549" s="522"/>
      <c r="B549" s="522"/>
      <c r="C549" s="522"/>
      <c r="D549" s="522"/>
      <c r="E549" s="522"/>
      <c r="F549" s="522"/>
      <c r="G549" s="522"/>
    </row>
    <row r="550" spans="1:7">
      <c r="A550" s="522"/>
      <c r="B550" s="522"/>
      <c r="C550" s="522"/>
      <c r="D550" s="522"/>
      <c r="E550" s="522"/>
      <c r="F550" s="522"/>
      <c r="G550" s="522"/>
    </row>
    <row r="551" spans="1:7">
      <c r="A551" s="522"/>
      <c r="B551" s="522"/>
      <c r="C551" s="522"/>
      <c r="D551" s="522"/>
      <c r="E551" s="522"/>
      <c r="F551" s="522"/>
      <c r="G551" s="522"/>
    </row>
    <row r="552" spans="1:7">
      <c r="A552" s="522"/>
      <c r="B552" s="522"/>
      <c r="C552" s="522"/>
      <c r="D552" s="522"/>
      <c r="E552" s="522"/>
      <c r="F552" s="522"/>
      <c r="G552" s="522"/>
    </row>
    <row r="553" spans="1:7">
      <c r="A553" s="522"/>
      <c r="B553" s="522"/>
      <c r="C553" s="522"/>
      <c r="D553" s="522"/>
      <c r="E553" s="522"/>
      <c r="F553" s="522"/>
      <c r="G553" s="522"/>
    </row>
    <row r="554" spans="1:7">
      <c r="A554" s="522"/>
      <c r="B554" s="522"/>
      <c r="C554" s="522"/>
      <c r="D554" s="522"/>
      <c r="E554" s="522"/>
      <c r="F554" s="522"/>
      <c r="G554" s="522"/>
    </row>
    <row r="555" spans="1:7">
      <c r="A555" s="522"/>
      <c r="B555" s="522"/>
      <c r="C555" s="522"/>
      <c r="D555" s="522"/>
      <c r="E555" s="522"/>
      <c r="F555" s="522"/>
      <c r="G555" s="522"/>
    </row>
    <row r="556" spans="1:7">
      <c r="A556" s="522"/>
      <c r="B556" s="522"/>
      <c r="C556" s="522"/>
      <c r="D556" s="522"/>
      <c r="E556" s="522"/>
      <c r="F556" s="522"/>
      <c r="G556" s="522"/>
    </row>
    <row r="557" spans="1:7">
      <c r="A557" s="522"/>
      <c r="B557" s="522"/>
      <c r="C557" s="522"/>
      <c r="D557" s="522"/>
      <c r="E557" s="522"/>
      <c r="F557" s="522"/>
      <c r="G557" s="522"/>
    </row>
    <row r="558" spans="1:7">
      <c r="A558" s="522"/>
      <c r="B558" s="522"/>
      <c r="C558" s="522"/>
      <c r="D558" s="522"/>
      <c r="E558" s="522"/>
      <c r="F558" s="522"/>
      <c r="G558" s="522"/>
    </row>
    <row r="559" spans="1:7">
      <c r="A559" s="522"/>
      <c r="B559" s="522"/>
      <c r="C559" s="522"/>
      <c r="D559" s="522"/>
      <c r="E559" s="522"/>
      <c r="F559" s="522"/>
      <c r="G559" s="522"/>
    </row>
    <row r="560" spans="1:7">
      <c r="A560" s="522"/>
      <c r="B560" s="522"/>
      <c r="C560" s="522"/>
      <c r="D560" s="522"/>
      <c r="E560" s="522"/>
      <c r="F560" s="522"/>
      <c r="G560" s="522"/>
    </row>
    <row r="561" spans="1:7">
      <c r="A561" s="522"/>
      <c r="B561" s="522"/>
      <c r="C561" s="522"/>
      <c r="D561" s="522"/>
      <c r="E561" s="522"/>
      <c r="F561" s="522"/>
      <c r="G561" s="522"/>
    </row>
    <row r="562" spans="1:7">
      <c r="A562" s="522"/>
      <c r="B562" s="522"/>
      <c r="C562" s="522"/>
      <c r="D562" s="522"/>
      <c r="E562" s="522"/>
      <c r="F562" s="522"/>
      <c r="G562" s="522"/>
    </row>
    <row r="563" spans="1:7">
      <c r="A563" s="522"/>
      <c r="B563" s="522"/>
      <c r="C563" s="522"/>
      <c r="D563" s="522"/>
      <c r="E563" s="522"/>
      <c r="F563" s="522"/>
      <c r="G563" s="522"/>
    </row>
    <row r="564" spans="1:7">
      <c r="A564" s="522"/>
      <c r="B564" s="522"/>
      <c r="C564" s="522"/>
      <c r="D564" s="522"/>
      <c r="E564" s="522"/>
      <c r="F564" s="522"/>
      <c r="G564" s="522"/>
    </row>
    <row r="565" spans="1:7">
      <c r="A565" s="522"/>
      <c r="B565" s="522"/>
      <c r="C565" s="522"/>
      <c r="D565" s="522"/>
      <c r="E565" s="522"/>
      <c r="F565" s="522"/>
      <c r="G565" s="522"/>
    </row>
    <row r="566" spans="1:7">
      <c r="A566" s="522"/>
      <c r="B566" s="522"/>
      <c r="C566" s="522"/>
      <c r="D566" s="522"/>
      <c r="E566" s="522"/>
      <c r="F566" s="522"/>
      <c r="G566" s="522"/>
    </row>
    <row r="567" spans="1:7">
      <c r="A567" s="522"/>
      <c r="B567" s="522"/>
      <c r="C567" s="522"/>
      <c r="D567" s="522"/>
      <c r="E567" s="522"/>
      <c r="F567" s="522"/>
      <c r="G567" s="522"/>
    </row>
    <row r="568" spans="1:7">
      <c r="A568" s="522"/>
      <c r="B568" s="522"/>
      <c r="C568" s="522"/>
      <c r="D568" s="522"/>
      <c r="E568" s="522"/>
      <c r="F568" s="522"/>
      <c r="G568" s="522"/>
    </row>
    <row r="569" spans="1:7">
      <c r="A569" s="522"/>
      <c r="B569" s="522"/>
      <c r="C569" s="522"/>
      <c r="D569" s="522"/>
      <c r="E569" s="522"/>
      <c r="F569" s="522"/>
      <c r="G569" s="522"/>
    </row>
    <row r="570" spans="1:7">
      <c r="A570" s="522"/>
      <c r="B570" s="522"/>
      <c r="C570" s="522"/>
      <c r="D570" s="522"/>
      <c r="E570" s="522"/>
      <c r="F570" s="522"/>
      <c r="G570" s="522"/>
    </row>
    <row r="571" spans="1:7">
      <c r="A571" s="522"/>
      <c r="B571" s="522"/>
      <c r="C571" s="522"/>
      <c r="D571" s="522"/>
      <c r="E571" s="522"/>
      <c r="F571" s="522"/>
      <c r="G571" s="522"/>
    </row>
    <row r="572" spans="1:7">
      <c r="A572" s="522"/>
      <c r="B572" s="522"/>
      <c r="C572" s="522"/>
      <c r="D572" s="522"/>
      <c r="E572" s="522"/>
      <c r="F572" s="522"/>
      <c r="G572" s="522"/>
    </row>
    <row r="573" spans="1:7">
      <c r="A573" s="522"/>
      <c r="B573" s="522"/>
      <c r="C573" s="522"/>
      <c r="D573" s="522"/>
      <c r="E573" s="522"/>
      <c r="F573" s="522"/>
      <c r="G573" s="522"/>
    </row>
    <row r="574" spans="1:7">
      <c r="A574" s="522"/>
      <c r="B574" s="522"/>
      <c r="C574" s="522"/>
      <c r="D574" s="522"/>
      <c r="E574" s="522"/>
      <c r="F574" s="522"/>
      <c r="G574" s="522"/>
    </row>
    <row r="575" spans="1:7">
      <c r="A575" s="522"/>
      <c r="B575" s="522"/>
      <c r="C575" s="522"/>
      <c r="D575" s="522"/>
      <c r="E575" s="522"/>
      <c r="F575" s="522"/>
      <c r="G575" s="522"/>
    </row>
    <row r="576" spans="1:7">
      <c r="A576" s="522"/>
      <c r="B576" s="522"/>
      <c r="C576" s="522"/>
      <c r="D576" s="522"/>
      <c r="E576" s="522"/>
      <c r="F576" s="522"/>
      <c r="G576" s="522"/>
    </row>
    <row r="577" spans="1:7">
      <c r="A577" s="522"/>
      <c r="B577" s="522"/>
      <c r="C577" s="522"/>
      <c r="D577" s="522"/>
      <c r="E577" s="522"/>
      <c r="F577" s="522"/>
      <c r="G577" s="522"/>
    </row>
    <row r="578" spans="1:7">
      <c r="A578" s="522"/>
      <c r="B578" s="522"/>
      <c r="C578" s="522"/>
      <c r="D578" s="522"/>
      <c r="E578" s="522"/>
      <c r="F578" s="522"/>
      <c r="G578" s="522"/>
    </row>
    <row r="579" spans="1:7">
      <c r="A579" s="522"/>
      <c r="B579" s="522"/>
      <c r="C579" s="522"/>
      <c r="D579" s="522"/>
      <c r="E579" s="522"/>
      <c r="F579" s="522"/>
      <c r="G579" s="522"/>
    </row>
    <row r="580" spans="1:7">
      <c r="A580" s="522"/>
      <c r="B580" s="522"/>
      <c r="C580" s="522"/>
      <c r="D580" s="522"/>
      <c r="E580" s="522"/>
      <c r="F580" s="522"/>
      <c r="G580" s="522"/>
    </row>
    <row r="581" spans="1:7">
      <c r="A581" s="522"/>
      <c r="B581" s="522"/>
      <c r="C581" s="522"/>
      <c r="D581" s="522"/>
      <c r="E581" s="522"/>
      <c r="F581" s="522"/>
      <c r="G581" s="522"/>
    </row>
    <row r="582" spans="1:7">
      <c r="A582" s="522"/>
      <c r="B582" s="522"/>
      <c r="C582" s="522"/>
      <c r="D582" s="522"/>
      <c r="E582" s="522"/>
      <c r="F582" s="522"/>
      <c r="G582" s="522"/>
    </row>
    <row r="583" spans="1:7">
      <c r="A583" s="522"/>
      <c r="B583" s="522"/>
      <c r="C583" s="522"/>
      <c r="D583" s="522"/>
      <c r="E583" s="522"/>
      <c r="F583" s="522"/>
      <c r="G583" s="522"/>
    </row>
    <row r="584" spans="1:7">
      <c r="A584" s="522"/>
      <c r="B584" s="522"/>
      <c r="C584" s="522"/>
      <c r="D584" s="522"/>
      <c r="E584" s="522"/>
      <c r="F584" s="522"/>
      <c r="G584" s="522"/>
    </row>
    <row r="585" spans="1:7">
      <c r="A585" s="522"/>
      <c r="B585" s="522"/>
      <c r="C585" s="522"/>
      <c r="D585" s="522"/>
      <c r="E585" s="522"/>
      <c r="F585" s="522"/>
      <c r="G585" s="522"/>
    </row>
    <row r="586" spans="1:7">
      <c r="A586" s="522"/>
      <c r="B586" s="522"/>
      <c r="C586" s="522"/>
      <c r="D586" s="522"/>
      <c r="E586" s="522"/>
      <c r="F586" s="522"/>
      <c r="G586" s="522"/>
    </row>
    <row r="587" spans="1:7">
      <c r="A587" s="522"/>
      <c r="B587" s="522"/>
      <c r="C587" s="522"/>
      <c r="D587" s="522"/>
      <c r="E587" s="522"/>
      <c r="F587" s="522"/>
      <c r="G587" s="522"/>
    </row>
    <row r="588" spans="1:7">
      <c r="A588" s="522"/>
      <c r="B588" s="522"/>
      <c r="C588" s="522"/>
      <c r="D588" s="522"/>
      <c r="E588" s="522"/>
      <c r="F588" s="522"/>
      <c r="G588" s="522"/>
    </row>
    <row r="589" spans="1:7">
      <c r="A589" s="522"/>
      <c r="B589" s="522"/>
      <c r="C589" s="522"/>
      <c r="D589" s="522"/>
      <c r="E589" s="522"/>
      <c r="F589" s="522"/>
      <c r="G589" s="522"/>
    </row>
    <row r="590" spans="1:7">
      <c r="A590" s="522"/>
      <c r="B590" s="522"/>
      <c r="C590" s="522"/>
      <c r="D590" s="522"/>
      <c r="E590" s="522"/>
      <c r="F590" s="522"/>
      <c r="G590" s="522"/>
    </row>
    <row r="591" spans="1:7">
      <c r="A591" s="522"/>
      <c r="B591" s="522"/>
      <c r="C591" s="522"/>
      <c r="D591" s="522"/>
      <c r="E591" s="522"/>
      <c r="F591" s="522"/>
      <c r="G591" s="522"/>
    </row>
    <row r="592" spans="1:7">
      <c r="A592" s="522"/>
      <c r="B592" s="522"/>
      <c r="C592" s="522"/>
      <c r="D592" s="522"/>
      <c r="E592" s="522"/>
      <c r="F592" s="522"/>
      <c r="G592" s="522"/>
    </row>
    <row r="593" spans="1:7">
      <c r="A593" s="522"/>
      <c r="B593" s="522"/>
      <c r="C593" s="522"/>
      <c r="D593" s="522"/>
      <c r="E593" s="522"/>
      <c r="F593" s="522"/>
      <c r="G593" s="522"/>
    </row>
    <row r="594" spans="1:7">
      <c r="A594" s="522"/>
      <c r="B594" s="522"/>
      <c r="C594" s="522"/>
      <c r="D594" s="522"/>
      <c r="E594" s="522"/>
      <c r="F594" s="522"/>
      <c r="G594" s="522"/>
    </row>
    <row r="595" spans="1:7">
      <c r="A595" s="522"/>
      <c r="B595" s="522"/>
      <c r="C595" s="522"/>
      <c r="D595" s="522"/>
      <c r="E595" s="522"/>
      <c r="F595" s="522"/>
      <c r="G595" s="522"/>
    </row>
    <row r="596" spans="1:7">
      <c r="A596" s="522"/>
      <c r="B596" s="522"/>
      <c r="C596" s="522"/>
      <c r="D596" s="522"/>
      <c r="E596" s="522"/>
      <c r="F596" s="522"/>
      <c r="G596" s="522"/>
    </row>
    <row r="597" spans="1:7">
      <c r="A597" s="522"/>
      <c r="B597" s="522"/>
      <c r="C597" s="522"/>
      <c r="D597" s="522"/>
      <c r="E597" s="522"/>
      <c r="F597" s="522"/>
      <c r="G597" s="522"/>
    </row>
    <row r="598" spans="1:7">
      <c r="A598" s="522"/>
      <c r="B598" s="522"/>
      <c r="C598" s="522"/>
      <c r="D598" s="522"/>
      <c r="E598" s="522"/>
      <c r="F598" s="522"/>
      <c r="G598" s="522"/>
    </row>
    <row r="599" spans="1:7">
      <c r="A599" s="522"/>
      <c r="B599" s="522"/>
      <c r="C599" s="522"/>
      <c r="D599" s="522"/>
      <c r="E599" s="522"/>
      <c r="F599" s="522"/>
      <c r="G599" s="522"/>
    </row>
    <row r="600" spans="1:7">
      <c r="A600" s="522"/>
      <c r="B600" s="522"/>
      <c r="C600" s="522"/>
      <c r="D600" s="522"/>
      <c r="E600" s="522"/>
      <c r="F600" s="522"/>
      <c r="G600" s="522"/>
    </row>
    <row r="601" spans="1:7">
      <c r="A601" s="522"/>
      <c r="B601" s="522"/>
      <c r="C601" s="522"/>
      <c r="D601" s="522"/>
      <c r="E601" s="522"/>
      <c r="F601" s="522"/>
      <c r="G601" s="522"/>
    </row>
    <row r="602" spans="1:7">
      <c r="A602" s="522"/>
      <c r="B602" s="522"/>
      <c r="C602" s="522"/>
      <c r="D602" s="522"/>
      <c r="E602" s="522"/>
      <c r="F602" s="522"/>
      <c r="G602" s="522"/>
    </row>
    <row r="603" spans="1:7">
      <c r="A603" s="522"/>
      <c r="B603" s="522"/>
      <c r="C603" s="522"/>
      <c r="D603" s="522"/>
      <c r="E603" s="522"/>
      <c r="F603" s="522"/>
      <c r="G603" s="522"/>
    </row>
    <row r="604" spans="1:7">
      <c r="A604" s="522"/>
      <c r="B604" s="522"/>
      <c r="C604" s="522"/>
      <c r="D604" s="522"/>
      <c r="E604" s="522"/>
      <c r="F604" s="522"/>
      <c r="G604" s="522"/>
    </row>
    <row r="605" spans="1:7">
      <c r="A605" s="522"/>
      <c r="B605" s="522"/>
      <c r="C605" s="522"/>
      <c r="D605" s="522"/>
      <c r="E605" s="522"/>
      <c r="F605" s="522"/>
      <c r="G605" s="522"/>
    </row>
    <row r="606" spans="1:7">
      <c r="A606" s="522"/>
      <c r="B606" s="522"/>
      <c r="C606" s="522"/>
      <c r="D606" s="522"/>
      <c r="E606" s="522"/>
      <c r="F606" s="522"/>
      <c r="G606" s="522"/>
    </row>
    <row r="607" spans="1:7">
      <c r="A607" s="522"/>
      <c r="B607" s="522"/>
      <c r="C607" s="522"/>
      <c r="D607" s="522"/>
      <c r="E607" s="522"/>
      <c r="F607" s="522"/>
      <c r="G607" s="522"/>
    </row>
    <row r="608" spans="1:7">
      <c r="A608" s="522"/>
      <c r="B608" s="522"/>
      <c r="C608" s="522"/>
      <c r="D608" s="522"/>
      <c r="E608" s="522"/>
      <c r="F608" s="522"/>
      <c r="G608" s="522"/>
    </row>
    <row r="609" spans="1:7">
      <c r="A609" s="522"/>
      <c r="B609" s="522"/>
      <c r="C609" s="522"/>
      <c r="D609" s="522"/>
      <c r="E609" s="522"/>
      <c r="F609" s="522"/>
      <c r="G609" s="522"/>
    </row>
    <row r="610" spans="1:7">
      <c r="A610" s="522"/>
      <c r="B610" s="522"/>
      <c r="C610" s="522"/>
      <c r="D610" s="522"/>
      <c r="E610" s="522"/>
      <c r="F610" s="522"/>
      <c r="G610" s="522"/>
    </row>
    <row r="611" spans="1:7">
      <c r="A611" s="522"/>
      <c r="B611" s="522"/>
      <c r="C611" s="522"/>
      <c r="D611" s="522"/>
      <c r="E611" s="522"/>
      <c r="F611" s="522"/>
      <c r="G611" s="522"/>
    </row>
    <row r="612" spans="1:7">
      <c r="A612" s="522"/>
      <c r="B612" s="522"/>
      <c r="C612" s="522"/>
      <c r="D612" s="522"/>
      <c r="E612" s="522"/>
      <c r="F612" s="522"/>
      <c r="G612" s="522"/>
    </row>
    <row r="613" spans="1:7">
      <c r="A613" s="522"/>
      <c r="B613" s="522"/>
      <c r="C613" s="522"/>
      <c r="D613" s="522"/>
      <c r="E613" s="522"/>
      <c r="F613" s="522"/>
      <c r="G613" s="522"/>
    </row>
    <row r="614" spans="1:7">
      <c r="A614" s="522"/>
      <c r="B614" s="522"/>
      <c r="C614" s="522"/>
      <c r="D614" s="522"/>
      <c r="E614" s="522"/>
      <c r="F614" s="522"/>
      <c r="G614" s="522"/>
    </row>
    <row r="615" spans="1:7">
      <c r="A615" s="522"/>
      <c r="B615" s="522"/>
      <c r="C615" s="522"/>
      <c r="D615" s="522"/>
      <c r="E615" s="522"/>
      <c r="F615" s="522"/>
      <c r="G615" s="522"/>
    </row>
    <row r="616" spans="1:7">
      <c r="A616" s="522"/>
      <c r="B616" s="522"/>
      <c r="C616" s="522"/>
      <c r="D616" s="522"/>
      <c r="E616" s="522"/>
      <c r="F616" s="522"/>
      <c r="G616" s="522"/>
    </row>
    <row r="617" spans="1:7">
      <c r="A617" s="522"/>
      <c r="B617" s="522"/>
      <c r="C617" s="522"/>
      <c r="D617" s="522"/>
      <c r="E617" s="522"/>
      <c r="F617" s="522"/>
      <c r="G617" s="522"/>
    </row>
    <row r="618" spans="1:7">
      <c r="A618" s="522"/>
      <c r="B618" s="522"/>
      <c r="C618" s="522"/>
      <c r="D618" s="522"/>
      <c r="E618" s="522"/>
      <c r="F618" s="522"/>
      <c r="G618" s="522"/>
    </row>
    <row r="619" spans="1:7">
      <c r="A619" s="522"/>
      <c r="B619" s="522"/>
      <c r="C619" s="522"/>
      <c r="D619" s="522"/>
      <c r="E619" s="522"/>
      <c r="F619" s="522"/>
      <c r="G619" s="522"/>
    </row>
    <row r="620" spans="1:7">
      <c r="A620" s="522"/>
      <c r="B620" s="522"/>
      <c r="C620" s="522"/>
      <c r="D620" s="522"/>
      <c r="E620" s="522"/>
      <c r="F620" s="522"/>
      <c r="G620" s="522"/>
    </row>
    <row r="621" spans="1:7">
      <c r="A621" s="522"/>
      <c r="B621" s="522"/>
      <c r="C621" s="522"/>
      <c r="D621" s="522"/>
      <c r="E621" s="522"/>
      <c r="F621" s="522"/>
      <c r="G621" s="522"/>
    </row>
    <row r="622" spans="1:7">
      <c r="A622" s="522"/>
      <c r="B622" s="522"/>
      <c r="C622" s="522"/>
      <c r="D622" s="522"/>
      <c r="E622" s="522"/>
      <c r="F622" s="522"/>
      <c r="G622" s="522"/>
    </row>
    <row r="623" spans="1:7">
      <c r="A623" s="522"/>
      <c r="B623" s="522"/>
      <c r="C623" s="522"/>
      <c r="D623" s="522"/>
      <c r="E623" s="522"/>
      <c r="F623" s="522"/>
      <c r="G623" s="522"/>
    </row>
    <row r="624" spans="1:7">
      <c r="A624" s="522"/>
      <c r="B624" s="522"/>
      <c r="C624" s="522"/>
      <c r="D624" s="522"/>
      <c r="E624" s="522"/>
      <c r="F624" s="522"/>
      <c r="G624" s="522"/>
    </row>
    <row r="625" spans="1:7">
      <c r="A625" s="522"/>
      <c r="B625" s="522"/>
      <c r="C625" s="522"/>
      <c r="D625" s="522"/>
      <c r="E625" s="522"/>
      <c r="F625" s="522"/>
      <c r="G625" s="522"/>
    </row>
    <row r="626" spans="1:7">
      <c r="A626" s="522"/>
      <c r="B626" s="522"/>
      <c r="C626" s="522"/>
      <c r="D626" s="522"/>
      <c r="E626" s="522"/>
      <c r="F626" s="522"/>
      <c r="G626" s="522"/>
    </row>
    <row r="627" spans="1:7">
      <c r="A627" s="522"/>
      <c r="B627" s="522"/>
      <c r="C627" s="522"/>
      <c r="D627" s="522"/>
      <c r="E627" s="522"/>
      <c r="F627" s="522"/>
      <c r="G627" s="522"/>
    </row>
    <row r="628" spans="1:7">
      <c r="A628" s="522"/>
      <c r="B628" s="522"/>
      <c r="C628" s="522"/>
      <c r="D628" s="522"/>
      <c r="E628" s="522"/>
      <c r="F628" s="522"/>
      <c r="G628" s="522"/>
    </row>
    <row r="629" spans="1:7">
      <c r="A629" s="522"/>
      <c r="B629" s="522"/>
      <c r="C629" s="522"/>
      <c r="D629" s="522"/>
      <c r="E629" s="522"/>
      <c r="F629" s="522"/>
      <c r="G629" s="522"/>
    </row>
    <row r="630" spans="1:7">
      <c r="A630" s="522"/>
      <c r="B630" s="522"/>
      <c r="C630" s="522"/>
      <c r="D630" s="522"/>
      <c r="E630" s="522"/>
      <c r="F630" s="522"/>
      <c r="G630" s="522"/>
    </row>
    <row r="631" spans="1:7">
      <c r="A631" s="522"/>
      <c r="B631" s="522"/>
      <c r="C631" s="522"/>
      <c r="D631" s="522"/>
      <c r="E631" s="522"/>
      <c r="F631" s="522"/>
      <c r="G631" s="522"/>
    </row>
    <row r="632" spans="1:7">
      <c r="A632" s="522"/>
      <c r="B632" s="522"/>
      <c r="C632" s="522"/>
      <c r="D632" s="522"/>
      <c r="E632" s="522"/>
      <c r="F632" s="522"/>
      <c r="G632" s="522"/>
    </row>
    <row r="633" spans="1:7">
      <c r="A633" s="522"/>
      <c r="B633" s="522"/>
      <c r="C633" s="522"/>
      <c r="D633" s="522"/>
      <c r="E633" s="522"/>
      <c r="F633" s="522"/>
      <c r="G633" s="522"/>
    </row>
    <row r="634" spans="1:7">
      <c r="A634" s="522"/>
      <c r="B634" s="522"/>
      <c r="C634" s="522"/>
      <c r="D634" s="522"/>
      <c r="E634" s="522"/>
      <c r="F634" s="522"/>
      <c r="G634" s="522"/>
    </row>
    <row r="635" spans="1:7">
      <c r="A635" s="522"/>
      <c r="B635" s="522"/>
      <c r="C635" s="522"/>
      <c r="D635" s="522"/>
      <c r="E635" s="522"/>
      <c r="F635" s="522"/>
      <c r="G635" s="522"/>
    </row>
    <row r="636" spans="1:7">
      <c r="A636" s="522"/>
      <c r="B636" s="522"/>
      <c r="C636" s="522"/>
      <c r="D636" s="522"/>
      <c r="E636" s="522"/>
      <c r="F636" s="522"/>
      <c r="G636" s="522"/>
    </row>
    <row r="637" spans="1:7">
      <c r="A637" s="522"/>
      <c r="B637" s="522"/>
      <c r="C637" s="522"/>
      <c r="D637" s="522"/>
      <c r="E637" s="522"/>
      <c r="F637" s="522"/>
      <c r="G637" s="522"/>
    </row>
    <row r="638" spans="1:7">
      <c r="A638" s="522"/>
      <c r="B638" s="522"/>
      <c r="C638" s="522"/>
      <c r="D638" s="522"/>
      <c r="E638" s="522"/>
      <c r="F638" s="522"/>
      <c r="G638" s="522"/>
    </row>
    <row r="639" spans="1:7">
      <c r="A639" s="522"/>
      <c r="B639" s="522"/>
      <c r="C639" s="522"/>
      <c r="D639" s="522"/>
      <c r="E639" s="522"/>
      <c r="F639" s="522"/>
      <c r="G639" s="522"/>
    </row>
    <row r="640" spans="1:7">
      <c r="A640" s="522"/>
      <c r="B640" s="522"/>
      <c r="C640" s="522"/>
      <c r="D640" s="522"/>
      <c r="E640" s="522"/>
      <c r="F640" s="522"/>
      <c r="G640" s="522"/>
    </row>
    <row r="641" spans="1:7">
      <c r="A641" s="522"/>
      <c r="B641" s="522"/>
      <c r="C641" s="522"/>
      <c r="D641" s="522"/>
      <c r="E641" s="522"/>
      <c r="F641" s="522"/>
      <c r="G641" s="522"/>
    </row>
    <row r="642" spans="1:7">
      <c r="A642" s="522"/>
      <c r="B642" s="522"/>
      <c r="C642" s="522"/>
      <c r="D642" s="522"/>
      <c r="E642" s="522"/>
      <c r="F642" s="522"/>
      <c r="G642" s="522"/>
    </row>
    <row r="643" spans="1:7">
      <c r="A643" s="522"/>
      <c r="B643" s="522"/>
      <c r="C643" s="522"/>
      <c r="D643" s="522"/>
      <c r="E643" s="522"/>
      <c r="F643" s="522"/>
      <c r="G643" s="522"/>
    </row>
    <row r="644" spans="1:7">
      <c r="A644" s="522"/>
      <c r="B644" s="522"/>
      <c r="C644" s="522"/>
      <c r="D644" s="522"/>
      <c r="E644" s="522"/>
      <c r="F644" s="522"/>
      <c r="G644" s="522"/>
    </row>
    <row r="645" spans="1:7">
      <c r="A645" s="522"/>
      <c r="B645" s="522"/>
      <c r="C645" s="522"/>
      <c r="D645" s="522"/>
      <c r="E645" s="522"/>
      <c r="F645" s="522"/>
      <c r="G645" s="522"/>
    </row>
    <row r="646" spans="1:7">
      <c r="A646" s="522"/>
      <c r="B646" s="522"/>
      <c r="C646" s="522"/>
      <c r="D646" s="522"/>
      <c r="E646" s="522"/>
      <c r="F646" s="522"/>
      <c r="G646" s="522"/>
    </row>
    <row r="647" spans="1:7">
      <c r="A647" s="522"/>
      <c r="B647" s="522"/>
      <c r="C647" s="522"/>
      <c r="D647" s="522"/>
      <c r="E647" s="522"/>
      <c r="F647" s="522"/>
      <c r="G647" s="522"/>
    </row>
    <row r="648" spans="1:7">
      <c r="A648" s="522"/>
      <c r="B648" s="522"/>
      <c r="C648" s="522"/>
      <c r="D648" s="522"/>
      <c r="E648" s="522"/>
      <c r="F648" s="522"/>
      <c r="G648" s="522"/>
    </row>
    <row r="649" spans="1:7">
      <c r="A649" s="522"/>
      <c r="B649" s="522"/>
      <c r="C649" s="522"/>
      <c r="D649" s="522"/>
      <c r="E649" s="522"/>
      <c r="F649" s="522"/>
      <c r="G649" s="522"/>
    </row>
    <row r="650" spans="1:7">
      <c r="A650" s="522"/>
      <c r="B650" s="522"/>
      <c r="C650" s="522"/>
      <c r="D650" s="522"/>
      <c r="E650" s="522"/>
      <c r="F650" s="522"/>
      <c r="G650" s="522"/>
    </row>
    <row r="651" spans="1:7">
      <c r="A651" s="522"/>
      <c r="B651" s="522"/>
      <c r="C651" s="522"/>
      <c r="D651" s="522"/>
      <c r="E651" s="522"/>
      <c r="F651" s="522"/>
      <c r="G651" s="522"/>
    </row>
    <row r="652" spans="1:7">
      <c r="A652" s="522"/>
      <c r="B652" s="522"/>
      <c r="C652" s="522"/>
      <c r="D652" s="522"/>
      <c r="E652" s="522"/>
      <c r="F652" s="522"/>
      <c r="G652" s="522"/>
    </row>
    <row r="653" spans="1:7">
      <c r="A653" s="522"/>
      <c r="B653" s="522"/>
      <c r="C653" s="522"/>
      <c r="D653" s="522"/>
      <c r="E653" s="522"/>
      <c r="F653" s="522"/>
      <c r="G653" s="522"/>
    </row>
    <row r="654" spans="1:7">
      <c r="A654" s="522"/>
      <c r="B654" s="522"/>
      <c r="C654" s="522"/>
      <c r="D654" s="522"/>
      <c r="E654" s="522"/>
      <c r="F654" s="522"/>
      <c r="G654" s="522"/>
    </row>
    <row r="655" spans="1:7">
      <c r="A655" s="522"/>
      <c r="B655" s="522"/>
      <c r="C655" s="522"/>
      <c r="D655" s="522"/>
      <c r="E655" s="522"/>
      <c r="F655" s="522"/>
      <c r="G655" s="522"/>
    </row>
    <row r="656" spans="1:7">
      <c r="A656" s="522"/>
      <c r="B656" s="522"/>
      <c r="C656" s="522"/>
      <c r="D656" s="522"/>
      <c r="E656" s="522"/>
      <c r="F656" s="522"/>
      <c r="G656" s="522"/>
    </row>
    <row r="657" spans="1:7">
      <c r="A657" s="522"/>
      <c r="B657" s="522"/>
      <c r="C657" s="522"/>
      <c r="D657" s="522"/>
      <c r="E657" s="522"/>
      <c r="F657" s="522"/>
      <c r="G657" s="522"/>
    </row>
    <row r="658" spans="1:7">
      <c r="A658" s="522"/>
      <c r="B658" s="522"/>
      <c r="C658" s="522"/>
      <c r="D658" s="522"/>
      <c r="E658" s="522"/>
      <c r="F658" s="522"/>
      <c r="G658" s="522"/>
    </row>
    <row r="659" spans="1:7">
      <c r="A659" s="522"/>
      <c r="B659" s="522"/>
      <c r="C659" s="522"/>
      <c r="D659" s="522"/>
      <c r="E659" s="522"/>
      <c r="F659" s="522"/>
      <c r="G659" s="522"/>
    </row>
    <row r="660" spans="1:7">
      <c r="A660" s="522"/>
      <c r="B660" s="522"/>
      <c r="C660" s="522"/>
      <c r="D660" s="522"/>
      <c r="E660" s="522"/>
      <c r="F660" s="522"/>
      <c r="G660" s="522"/>
    </row>
    <row r="661" spans="1:7">
      <c r="A661" s="522"/>
      <c r="B661" s="522"/>
      <c r="C661" s="522"/>
      <c r="D661" s="522"/>
      <c r="E661" s="522"/>
      <c r="F661" s="522"/>
      <c r="G661" s="522"/>
    </row>
    <row r="662" spans="1:7">
      <c r="A662" s="522"/>
      <c r="B662" s="522"/>
      <c r="C662" s="522"/>
      <c r="D662" s="522"/>
      <c r="E662" s="522"/>
      <c r="F662" s="522"/>
      <c r="G662" s="522"/>
    </row>
    <row r="663" spans="1:7">
      <c r="A663" s="522"/>
      <c r="B663" s="522"/>
      <c r="C663" s="522"/>
      <c r="D663" s="522"/>
      <c r="E663" s="522"/>
      <c r="F663" s="522"/>
      <c r="G663" s="522"/>
    </row>
    <row r="664" spans="1:7">
      <c r="A664" s="522"/>
      <c r="B664" s="522"/>
      <c r="C664" s="522"/>
      <c r="D664" s="522"/>
      <c r="E664" s="522"/>
      <c r="F664" s="522"/>
      <c r="G664" s="522"/>
    </row>
    <row r="665" spans="1:7">
      <c r="A665" s="522"/>
      <c r="B665" s="522"/>
      <c r="C665" s="522"/>
      <c r="D665" s="522"/>
      <c r="E665" s="522"/>
      <c r="F665" s="522"/>
      <c r="G665" s="522"/>
    </row>
    <row r="666" spans="1:7">
      <c r="A666" s="522"/>
      <c r="B666" s="522"/>
      <c r="C666" s="522"/>
      <c r="D666" s="522"/>
      <c r="E666" s="522"/>
      <c r="F666" s="522"/>
      <c r="G666" s="522"/>
    </row>
    <row r="667" spans="1:7">
      <c r="A667" s="522"/>
      <c r="B667" s="522"/>
      <c r="C667" s="522"/>
      <c r="D667" s="522"/>
      <c r="E667" s="522"/>
      <c r="F667" s="522"/>
      <c r="G667" s="522"/>
    </row>
    <row r="668" spans="1:7">
      <c r="A668" s="522"/>
      <c r="B668" s="522"/>
      <c r="C668" s="522"/>
      <c r="D668" s="522"/>
      <c r="E668" s="522"/>
      <c r="F668" s="522"/>
      <c r="G668" s="522"/>
    </row>
    <row r="669" spans="1:7">
      <c r="A669" s="522"/>
      <c r="B669" s="522"/>
      <c r="C669" s="522"/>
      <c r="D669" s="522"/>
      <c r="E669" s="522"/>
      <c r="F669" s="522"/>
      <c r="G669" s="522"/>
    </row>
    <row r="670" spans="1:7">
      <c r="A670" s="522"/>
      <c r="B670" s="522"/>
      <c r="C670" s="522"/>
      <c r="D670" s="522"/>
      <c r="E670" s="522"/>
      <c r="F670" s="522"/>
      <c r="G670" s="522"/>
    </row>
    <row r="671" spans="1:7">
      <c r="A671" s="522"/>
      <c r="B671" s="522"/>
      <c r="C671" s="522"/>
      <c r="D671" s="522"/>
      <c r="E671" s="522"/>
      <c r="F671" s="522"/>
      <c r="G671" s="522"/>
    </row>
    <row r="672" spans="1:7">
      <c r="A672" s="522"/>
      <c r="B672" s="522"/>
      <c r="C672" s="522"/>
      <c r="D672" s="522"/>
      <c r="E672" s="522"/>
      <c r="F672" s="522"/>
      <c r="G672" s="522"/>
    </row>
    <row r="673" spans="1:7">
      <c r="A673" s="522"/>
      <c r="B673" s="522"/>
      <c r="C673" s="522"/>
      <c r="D673" s="522"/>
      <c r="E673" s="522"/>
      <c r="F673" s="522"/>
      <c r="G673" s="522"/>
    </row>
    <row r="674" spans="1:7">
      <c r="A674" s="522"/>
      <c r="B674" s="522"/>
      <c r="C674" s="522"/>
      <c r="D674" s="522"/>
      <c r="E674" s="522"/>
      <c r="F674" s="522"/>
      <c r="G674" s="522"/>
    </row>
    <row r="675" spans="1:7">
      <c r="A675" s="522"/>
      <c r="B675" s="522"/>
      <c r="C675" s="522"/>
      <c r="D675" s="522"/>
      <c r="E675" s="522"/>
      <c r="F675" s="522"/>
      <c r="G675" s="522"/>
    </row>
    <row r="676" spans="1:7">
      <c r="A676" s="522"/>
      <c r="B676" s="522"/>
      <c r="C676" s="522"/>
      <c r="D676" s="522"/>
      <c r="E676" s="522"/>
      <c r="F676" s="522"/>
      <c r="G676" s="522"/>
    </row>
    <row r="677" spans="1:7">
      <c r="A677" s="522"/>
      <c r="B677" s="522"/>
      <c r="C677" s="522"/>
      <c r="D677" s="522"/>
      <c r="E677" s="522"/>
      <c r="F677" s="522"/>
      <c r="G677" s="522"/>
    </row>
    <row r="678" spans="1:7">
      <c r="A678" s="522"/>
      <c r="B678" s="522"/>
      <c r="C678" s="522"/>
      <c r="D678" s="522"/>
      <c r="E678" s="522"/>
      <c r="F678" s="522"/>
      <c r="G678" s="522"/>
    </row>
    <row r="679" spans="1:7">
      <c r="A679" s="522"/>
      <c r="B679" s="522"/>
      <c r="C679" s="522"/>
      <c r="D679" s="522"/>
      <c r="E679" s="522"/>
      <c r="F679" s="522"/>
      <c r="G679" s="522"/>
    </row>
    <row r="680" spans="1:7">
      <c r="A680" s="522"/>
      <c r="B680" s="522"/>
      <c r="C680" s="522"/>
      <c r="D680" s="522"/>
      <c r="E680" s="522"/>
      <c r="F680" s="522"/>
      <c r="G680" s="522"/>
    </row>
    <row r="681" spans="1:7">
      <c r="A681" s="522"/>
      <c r="B681" s="522"/>
      <c r="C681" s="522"/>
      <c r="D681" s="522"/>
      <c r="E681" s="522"/>
      <c r="F681" s="522"/>
      <c r="G681" s="522"/>
    </row>
    <row r="682" spans="1:7">
      <c r="A682" s="522"/>
      <c r="B682" s="522"/>
      <c r="C682" s="522"/>
      <c r="D682" s="522"/>
      <c r="E682" s="522"/>
      <c r="F682" s="522"/>
      <c r="G682" s="522"/>
    </row>
    <row r="683" spans="1:7">
      <c r="A683" s="522"/>
      <c r="B683" s="522"/>
      <c r="C683" s="522"/>
      <c r="D683" s="522"/>
      <c r="E683" s="522"/>
      <c r="F683" s="522"/>
      <c r="G683" s="522"/>
    </row>
    <row r="684" spans="1:7">
      <c r="A684" s="522"/>
      <c r="B684" s="522"/>
      <c r="C684" s="522"/>
      <c r="D684" s="522"/>
      <c r="E684" s="522"/>
      <c r="F684" s="522"/>
      <c r="G684" s="522"/>
    </row>
    <row r="685" spans="1:7">
      <c r="A685" s="522"/>
      <c r="B685" s="522"/>
      <c r="C685" s="522"/>
      <c r="D685" s="522"/>
      <c r="E685" s="522"/>
      <c r="F685" s="522"/>
      <c r="G685" s="522"/>
    </row>
    <row r="686" spans="1:7">
      <c r="A686" s="522"/>
      <c r="B686" s="522"/>
      <c r="C686" s="522"/>
      <c r="D686" s="522"/>
      <c r="E686" s="522"/>
      <c r="F686" s="522"/>
      <c r="G686" s="522"/>
    </row>
    <row r="687" spans="1:7">
      <c r="A687" s="522"/>
      <c r="B687" s="522"/>
      <c r="C687" s="522"/>
      <c r="D687" s="522"/>
      <c r="E687" s="522"/>
      <c r="F687" s="522"/>
      <c r="G687" s="522"/>
    </row>
    <row r="688" spans="1:7">
      <c r="A688" s="522"/>
      <c r="B688" s="522"/>
      <c r="C688" s="522"/>
      <c r="D688" s="522"/>
      <c r="E688" s="522"/>
      <c r="F688" s="522"/>
      <c r="G688" s="522"/>
    </row>
    <row r="689" spans="1:7">
      <c r="A689" s="522"/>
      <c r="B689" s="522"/>
      <c r="C689" s="522"/>
      <c r="D689" s="522"/>
      <c r="E689" s="522"/>
      <c r="F689" s="522"/>
      <c r="G689" s="522"/>
    </row>
    <row r="690" spans="1:7">
      <c r="A690" s="522"/>
      <c r="B690" s="522"/>
      <c r="C690" s="522"/>
      <c r="D690" s="522"/>
      <c r="E690" s="522"/>
      <c r="F690" s="522"/>
      <c r="G690" s="522"/>
    </row>
    <row r="691" spans="1:7">
      <c r="A691" s="522"/>
      <c r="B691" s="522"/>
      <c r="C691" s="522"/>
      <c r="D691" s="522"/>
      <c r="E691" s="522"/>
      <c r="F691" s="522"/>
      <c r="G691" s="522"/>
    </row>
    <row r="692" spans="1:7">
      <c r="A692" s="522"/>
      <c r="B692" s="522"/>
      <c r="C692" s="522"/>
      <c r="D692" s="522"/>
      <c r="E692" s="522"/>
      <c r="F692" s="522"/>
      <c r="G692" s="522"/>
    </row>
    <row r="693" spans="1:7">
      <c r="A693" s="522"/>
      <c r="B693" s="522"/>
      <c r="C693" s="522"/>
      <c r="D693" s="522"/>
      <c r="E693" s="522"/>
      <c r="F693" s="522"/>
      <c r="G693" s="522"/>
    </row>
    <row r="694" spans="1:7">
      <c r="A694" s="522"/>
      <c r="B694" s="522"/>
      <c r="C694" s="522"/>
      <c r="D694" s="522"/>
      <c r="E694" s="522"/>
      <c r="F694" s="522"/>
      <c r="G694" s="522"/>
    </row>
    <row r="695" spans="1:7">
      <c r="A695" s="522"/>
      <c r="B695" s="522"/>
      <c r="C695" s="522"/>
      <c r="D695" s="522"/>
      <c r="E695" s="522"/>
      <c r="F695" s="522"/>
      <c r="G695" s="522"/>
    </row>
    <row r="696" spans="1:7">
      <c r="A696" s="522"/>
      <c r="B696" s="522"/>
      <c r="C696" s="522"/>
      <c r="D696" s="522"/>
      <c r="E696" s="522"/>
      <c r="F696" s="522"/>
      <c r="G696" s="522"/>
    </row>
    <row r="697" spans="1:7">
      <c r="A697" s="522"/>
      <c r="B697" s="522"/>
      <c r="C697" s="522"/>
      <c r="D697" s="522"/>
      <c r="E697" s="522"/>
      <c r="F697" s="522"/>
      <c r="G697" s="522"/>
    </row>
    <row r="698" spans="1:7">
      <c r="A698" s="522"/>
      <c r="B698" s="522"/>
      <c r="C698" s="522"/>
      <c r="D698" s="522"/>
      <c r="E698" s="522"/>
      <c r="F698" s="522"/>
      <c r="G698" s="522"/>
    </row>
    <row r="699" spans="1:7">
      <c r="A699" s="522"/>
      <c r="B699" s="522"/>
      <c r="C699" s="522"/>
      <c r="D699" s="522"/>
      <c r="E699" s="522"/>
      <c r="F699" s="522"/>
      <c r="G699" s="522"/>
    </row>
    <row r="700" spans="1:7">
      <c r="A700" s="522"/>
      <c r="B700" s="522"/>
      <c r="C700" s="522"/>
      <c r="D700" s="522"/>
      <c r="E700" s="522"/>
      <c r="F700" s="522"/>
      <c r="G700" s="522"/>
    </row>
    <row r="701" spans="1:7">
      <c r="A701" s="522"/>
      <c r="B701" s="522"/>
      <c r="C701" s="522"/>
      <c r="D701" s="522"/>
      <c r="E701" s="522"/>
      <c r="F701" s="522"/>
      <c r="G701" s="522"/>
    </row>
    <row r="702" spans="1:7">
      <c r="A702" s="522"/>
      <c r="B702" s="522"/>
      <c r="C702" s="522"/>
      <c r="D702" s="522"/>
      <c r="E702" s="522"/>
      <c r="F702" s="522"/>
      <c r="G702" s="522"/>
    </row>
    <row r="703" spans="1:7">
      <c r="A703" s="522"/>
      <c r="B703" s="522"/>
      <c r="C703" s="522"/>
      <c r="D703" s="522"/>
      <c r="E703" s="522"/>
      <c r="F703" s="522"/>
      <c r="G703" s="522"/>
    </row>
    <row r="704" spans="1:7">
      <c r="A704" s="522"/>
      <c r="B704" s="522"/>
      <c r="C704" s="522"/>
      <c r="D704" s="522"/>
      <c r="E704" s="522"/>
      <c r="F704" s="522"/>
      <c r="G704" s="522"/>
    </row>
    <row r="705" spans="1:7">
      <c r="A705" s="522"/>
      <c r="B705" s="522"/>
      <c r="C705" s="522"/>
      <c r="D705" s="522"/>
      <c r="E705" s="522"/>
      <c r="F705" s="522"/>
      <c r="G705" s="522"/>
    </row>
    <row r="706" spans="1:7">
      <c r="A706" s="522"/>
      <c r="B706" s="522"/>
      <c r="C706" s="522"/>
      <c r="D706" s="522"/>
      <c r="E706" s="522"/>
      <c r="F706" s="522"/>
      <c r="G706" s="522"/>
    </row>
    <row r="707" spans="1:7">
      <c r="A707" s="522"/>
      <c r="B707" s="522"/>
      <c r="C707" s="522"/>
      <c r="D707" s="522"/>
      <c r="E707" s="522"/>
      <c r="F707" s="522"/>
      <c r="G707" s="522"/>
    </row>
    <row r="708" spans="1:7">
      <c r="A708" s="522"/>
      <c r="B708" s="522"/>
      <c r="C708" s="522"/>
      <c r="D708" s="522"/>
      <c r="E708" s="522"/>
      <c r="F708" s="522"/>
      <c r="G708" s="522"/>
    </row>
    <row r="709" spans="1:7">
      <c r="A709" s="522"/>
      <c r="B709" s="522"/>
      <c r="C709" s="522"/>
      <c r="D709" s="522"/>
      <c r="E709" s="522"/>
      <c r="F709" s="522"/>
      <c r="G709" s="522"/>
    </row>
    <row r="710" spans="1:7">
      <c r="A710" s="522"/>
      <c r="B710" s="522"/>
      <c r="C710" s="522"/>
      <c r="D710" s="522"/>
      <c r="E710" s="522"/>
      <c r="F710" s="522"/>
      <c r="G710" s="522"/>
    </row>
    <row r="711" spans="1:7">
      <c r="A711" s="522"/>
      <c r="B711" s="522"/>
      <c r="C711" s="522"/>
      <c r="D711" s="522"/>
      <c r="E711" s="522"/>
      <c r="F711" s="522"/>
      <c r="G711" s="522"/>
    </row>
    <row r="712" spans="1:7">
      <c r="A712" s="522"/>
      <c r="B712" s="522"/>
      <c r="C712" s="522"/>
      <c r="D712" s="522"/>
      <c r="E712" s="522"/>
      <c r="F712" s="522"/>
      <c r="G712" s="522"/>
    </row>
    <row r="713" spans="1:7">
      <c r="A713" s="522"/>
      <c r="B713" s="522"/>
      <c r="C713" s="522"/>
      <c r="D713" s="522"/>
      <c r="E713" s="522"/>
      <c r="F713" s="522"/>
      <c r="G713" s="522"/>
    </row>
    <row r="714" spans="1:7">
      <c r="A714" s="522"/>
      <c r="B714" s="522"/>
      <c r="C714" s="522"/>
      <c r="D714" s="522"/>
      <c r="E714" s="522"/>
      <c r="F714" s="522"/>
      <c r="G714" s="522"/>
    </row>
    <row r="715" spans="1:7">
      <c r="A715" s="522"/>
      <c r="B715" s="522"/>
      <c r="C715" s="522"/>
      <c r="D715" s="522"/>
      <c r="E715" s="522"/>
      <c r="F715" s="522"/>
      <c r="G715" s="522"/>
    </row>
    <row r="716" spans="1:7">
      <c r="A716" s="522"/>
      <c r="B716" s="522"/>
      <c r="C716" s="522"/>
      <c r="D716" s="522"/>
      <c r="E716" s="522"/>
      <c r="F716" s="522"/>
      <c r="G716" s="522"/>
    </row>
    <row r="717" spans="1:7">
      <c r="A717" s="522"/>
      <c r="B717" s="522"/>
      <c r="C717" s="522"/>
      <c r="D717" s="522"/>
      <c r="E717" s="522"/>
      <c r="F717" s="522"/>
      <c r="G717" s="522"/>
    </row>
    <row r="718" spans="1:7">
      <c r="A718" s="522"/>
      <c r="B718" s="522"/>
      <c r="C718" s="522"/>
      <c r="D718" s="522"/>
      <c r="E718" s="522"/>
      <c r="F718" s="522"/>
      <c r="G718" s="522"/>
    </row>
    <row r="719" spans="1:7">
      <c r="A719" s="522"/>
      <c r="B719" s="522"/>
      <c r="C719" s="522"/>
      <c r="D719" s="522"/>
      <c r="E719" s="522"/>
      <c r="F719" s="522"/>
      <c r="G719" s="522"/>
    </row>
    <row r="720" spans="1:7">
      <c r="A720" s="522"/>
      <c r="B720" s="522"/>
      <c r="C720" s="522"/>
      <c r="D720" s="522"/>
      <c r="E720" s="522"/>
      <c r="F720" s="522"/>
      <c r="G720" s="522"/>
    </row>
    <row r="721" spans="1:7">
      <c r="A721" s="522"/>
      <c r="B721" s="522"/>
      <c r="C721" s="522"/>
      <c r="D721" s="522"/>
      <c r="E721" s="522"/>
      <c r="F721" s="522"/>
      <c r="G721" s="522"/>
    </row>
    <row r="722" spans="1:7">
      <c r="A722" s="522"/>
      <c r="B722" s="522"/>
      <c r="C722" s="522"/>
      <c r="D722" s="522"/>
      <c r="E722" s="522"/>
      <c r="F722" s="522"/>
      <c r="G722" s="522"/>
    </row>
    <row r="723" spans="1:7">
      <c r="A723" s="522"/>
      <c r="B723" s="522"/>
      <c r="C723" s="522"/>
      <c r="D723" s="522"/>
      <c r="E723" s="522"/>
      <c r="F723" s="522"/>
      <c r="G723" s="522"/>
    </row>
    <row r="724" spans="1:7">
      <c r="A724" s="522"/>
      <c r="B724" s="522"/>
      <c r="C724" s="522"/>
      <c r="D724" s="522"/>
      <c r="E724" s="522"/>
      <c r="F724" s="522"/>
      <c r="G724" s="522"/>
    </row>
    <row r="725" spans="1:7">
      <c r="A725" s="522"/>
      <c r="B725" s="522"/>
      <c r="C725" s="522"/>
      <c r="D725" s="522"/>
      <c r="E725" s="522"/>
      <c r="F725" s="522"/>
      <c r="G725" s="522"/>
    </row>
    <row r="726" spans="1:7">
      <c r="A726" s="522"/>
      <c r="B726" s="522"/>
      <c r="C726" s="522"/>
      <c r="D726" s="522"/>
      <c r="E726" s="522"/>
      <c r="F726" s="522"/>
      <c r="G726" s="522"/>
    </row>
    <row r="727" spans="1:7">
      <c r="A727" s="522"/>
      <c r="B727" s="522"/>
      <c r="C727" s="522"/>
      <c r="D727" s="522"/>
      <c r="E727" s="522"/>
      <c r="F727" s="522"/>
      <c r="G727" s="522"/>
    </row>
    <row r="728" spans="1:7">
      <c r="A728" s="522"/>
      <c r="B728" s="522"/>
      <c r="C728" s="522"/>
      <c r="D728" s="522"/>
      <c r="E728" s="522"/>
      <c r="F728" s="522"/>
      <c r="G728" s="522"/>
    </row>
    <row r="729" spans="1:7">
      <c r="A729" s="522"/>
      <c r="B729" s="522"/>
      <c r="C729" s="522"/>
      <c r="D729" s="522"/>
      <c r="E729" s="522"/>
      <c r="F729" s="522"/>
      <c r="G729" s="522"/>
    </row>
    <row r="730" spans="1:7">
      <c r="A730" s="522"/>
      <c r="B730" s="522"/>
      <c r="C730" s="522"/>
      <c r="D730" s="522"/>
      <c r="E730" s="522"/>
      <c r="F730" s="522"/>
      <c r="G730" s="522"/>
    </row>
    <row r="731" spans="1:7">
      <c r="A731" s="522"/>
      <c r="B731" s="522"/>
      <c r="C731" s="522"/>
      <c r="D731" s="522"/>
      <c r="E731" s="522"/>
      <c r="F731" s="522"/>
      <c r="G731" s="522"/>
    </row>
    <row r="732" spans="1:7">
      <c r="A732" s="522"/>
      <c r="B732" s="522"/>
      <c r="C732" s="522"/>
      <c r="D732" s="522"/>
      <c r="E732" s="522"/>
      <c r="F732" s="522"/>
      <c r="G732" s="522"/>
    </row>
    <row r="733" spans="1:7">
      <c r="A733" s="522"/>
      <c r="B733" s="522"/>
      <c r="C733" s="522"/>
      <c r="D733" s="522"/>
      <c r="E733" s="522"/>
      <c r="F733" s="522"/>
      <c r="G733" s="522"/>
    </row>
    <row r="734" spans="1:7">
      <c r="A734" s="522"/>
      <c r="B734" s="522"/>
      <c r="C734" s="522"/>
      <c r="D734" s="522"/>
      <c r="E734" s="522"/>
      <c r="F734" s="522"/>
      <c r="G734" s="522"/>
    </row>
    <row r="735" spans="1:7">
      <c r="A735" s="522"/>
      <c r="B735" s="522"/>
      <c r="C735" s="522"/>
      <c r="D735" s="522"/>
      <c r="E735" s="522"/>
      <c r="F735" s="522"/>
      <c r="G735" s="522"/>
    </row>
    <row r="736" spans="1:7">
      <c r="A736" s="522"/>
      <c r="B736" s="522"/>
      <c r="C736" s="522"/>
      <c r="D736" s="522"/>
      <c r="E736" s="522"/>
      <c r="F736" s="522"/>
      <c r="G736" s="522"/>
    </row>
    <row r="737" spans="1:7">
      <c r="A737" s="522"/>
      <c r="B737" s="522"/>
      <c r="C737" s="522"/>
      <c r="D737" s="522"/>
      <c r="E737" s="522"/>
      <c r="F737" s="522"/>
      <c r="G737" s="522"/>
    </row>
    <row r="738" spans="1:7">
      <c r="A738" s="522"/>
      <c r="B738" s="522"/>
      <c r="C738" s="522"/>
      <c r="D738" s="522"/>
      <c r="E738" s="522"/>
      <c r="F738" s="522"/>
      <c r="G738" s="522"/>
    </row>
    <row r="739" spans="1:7">
      <c r="A739" s="522"/>
      <c r="B739" s="522"/>
      <c r="C739" s="522"/>
      <c r="D739" s="522"/>
      <c r="E739" s="522"/>
      <c r="F739" s="522"/>
      <c r="G739" s="522"/>
    </row>
    <row r="740" spans="1:7">
      <c r="A740" s="522"/>
      <c r="B740" s="522"/>
      <c r="C740" s="522"/>
      <c r="D740" s="522"/>
      <c r="E740" s="522"/>
      <c r="F740" s="522"/>
      <c r="G740" s="522"/>
    </row>
    <row r="741" spans="1:7">
      <c r="A741" s="522"/>
      <c r="B741" s="522"/>
      <c r="C741" s="522"/>
      <c r="D741" s="522"/>
      <c r="E741" s="522"/>
      <c r="F741" s="522"/>
      <c r="G741" s="522"/>
    </row>
    <row r="742" spans="1:7">
      <c r="A742" s="522"/>
      <c r="B742" s="522"/>
      <c r="C742" s="522"/>
      <c r="D742" s="522"/>
      <c r="E742" s="522"/>
      <c r="F742" s="522"/>
      <c r="G742" s="522"/>
    </row>
    <row r="743" spans="1:7">
      <c r="A743" s="522"/>
      <c r="B743" s="522"/>
      <c r="C743" s="522"/>
      <c r="D743" s="522"/>
      <c r="E743" s="522"/>
      <c r="F743" s="522"/>
      <c r="G743" s="522"/>
    </row>
    <row r="744" spans="1:7">
      <c r="A744" s="522"/>
      <c r="B744" s="522"/>
      <c r="C744" s="522"/>
      <c r="D744" s="522"/>
      <c r="E744" s="522"/>
      <c r="F744" s="522"/>
      <c r="G744" s="522"/>
    </row>
    <row r="745" spans="1:7">
      <c r="A745" s="522"/>
      <c r="B745" s="522"/>
      <c r="C745" s="522"/>
      <c r="D745" s="522"/>
      <c r="E745" s="522"/>
      <c r="F745" s="522"/>
      <c r="G745" s="522"/>
    </row>
    <row r="746" spans="1:7">
      <c r="A746" s="522"/>
      <c r="B746" s="522"/>
      <c r="C746" s="522"/>
      <c r="D746" s="522"/>
      <c r="E746" s="522"/>
      <c r="F746" s="522"/>
      <c r="G746" s="522"/>
    </row>
    <row r="747" spans="1:7">
      <c r="A747" s="522"/>
      <c r="B747" s="522"/>
      <c r="C747" s="522"/>
      <c r="D747" s="522"/>
      <c r="E747" s="522"/>
      <c r="F747" s="522"/>
      <c r="G747" s="522"/>
    </row>
    <row r="748" spans="1:7">
      <c r="A748" s="522"/>
      <c r="B748" s="522"/>
      <c r="C748" s="522"/>
      <c r="D748" s="522"/>
      <c r="E748" s="522"/>
      <c r="F748" s="522"/>
      <c r="G748" s="522"/>
    </row>
    <row r="749" spans="1:7">
      <c r="A749" s="522"/>
      <c r="B749" s="522"/>
      <c r="C749" s="522"/>
      <c r="D749" s="522"/>
      <c r="E749" s="522"/>
      <c r="F749" s="522"/>
      <c r="G749" s="522"/>
    </row>
    <row r="750" spans="1:7">
      <c r="A750" s="522"/>
      <c r="B750" s="522"/>
      <c r="C750" s="522"/>
      <c r="D750" s="522"/>
      <c r="E750" s="522"/>
      <c r="F750" s="522"/>
      <c r="G750" s="522"/>
    </row>
    <row r="751" spans="1:7">
      <c r="A751" s="522"/>
      <c r="B751" s="522"/>
      <c r="C751" s="522"/>
      <c r="D751" s="522"/>
      <c r="E751" s="522"/>
      <c r="F751" s="522"/>
      <c r="G751" s="522"/>
    </row>
    <row r="752" spans="1:7">
      <c r="A752" s="522"/>
      <c r="B752" s="522"/>
      <c r="C752" s="522"/>
      <c r="D752" s="522"/>
      <c r="E752" s="522"/>
      <c r="F752" s="522"/>
      <c r="G752" s="522"/>
    </row>
    <row r="753" spans="1:7">
      <c r="A753" s="522"/>
      <c r="B753" s="522"/>
      <c r="C753" s="522"/>
      <c r="D753" s="522"/>
      <c r="E753" s="522"/>
      <c r="F753" s="522"/>
      <c r="G753" s="522"/>
    </row>
    <row r="754" spans="1:7">
      <c r="A754" s="522"/>
      <c r="B754" s="522"/>
      <c r="C754" s="522"/>
      <c r="D754" s="522"/>
      <c r="E754" s="522"/>
      <c r="F754" s="522"/>
      <c r="G754" s="522"/>
    </row>
    <row r="755" spans="1:7">
      <c r="A755" s="522"/>
      <c r="B755" s="522"/>
      <c r="C755" s="522"/>
      <c r="D755" s="522"/>
      <c r="E755" s="522"/>
      <c r="F755" s="522"/>
      <c r="G755" s="522"/>
    </row>
    <row r="756" spans="1:7">
      <c r="A756" s="522"/>
      <c r="B756" s="522"/>
      <c r="C756" s="522"/>
      <c r="D756" s="522"/>
      <c r="E756" s="522"/>
      <c r="F756" s="522"/>
      <c r="G756" s="522"/>
    </row>
    <row r="757" spans="1:7">
      <c r="A757" s="522"/>
      <c r="B757" s="522"/>
      <c r="C757" s="522"/>
      <c r="D757" s="522"/>
      <c r="E757" s="522"/>
      <c r="F757" s="522"/>
      <c r="G757" s="522"/>
    </row>
    <row r="758" spans="1:7">
      <c r="A758" s="522"/>
      <c r="B758" s="522"/>
      <c r="C758" s="522"/>
      <c r="D758" s="522"/>
      <c r="E758" s="522"/>
      <c r="F758" s="522"/>
      <c r="G758" s="522"/>
    </row>
    <row r="759" spans="1:7">
      <c r="A759" s="522"/>
      <c r="B759" s="522"/>
      <c r="C759" s="522"/>
      <c r="D759" s="522"/>
      <c r="E759" s="522"/>
      <c r="F759" s="522"/>
      <c r="G759" s="522"/>
    </row>
    <row r="760" spans="1:7">
      <c r="A760" s="522"/>
      <c r="B760" s="522"/>
      <c r="C760" s="522"/>
      <c r="D760" s="522"/>
      <c r="E760" s="522"/>
      <c r="F760" s="522"/>
      <c r="G760" s="522"/>
    </row>
    <row r="761" spans="1:7">
      <c r="A761" s="522"/>
      <c r="B761" s="522"/>
      <c r="C761" s="522"/>
      <c r="D761" s="522"/>
      <c r="E761" s="522"/>
      <c r="F761" s="522"/>
      <c r="G761" s="522"/>
    </row>
    <row r="762" spans="1:7">
      <c r="A762" s="522"/>
      <c r="B762" s="522"/>
      <c r="C762" s="522"/>
      <c r="D762" s="522"/>
      <c r="E762" s="522"/>
      <c r="F762" s="522"/>
      <c r="G762" s="522"/>
    </row>
    <row r="763" spans="1:7">
      <c r="A763" s="522"/>
      <c r="B763" s="522"/>
      <c r="C763" s="522"/>
      <c r="D763" s="522"/>
      <c r="E763" s="522"/>
      <c r="F763" s="522"/>
      <c r="G763" s="522"/>
    </row>
    <row r="764" spans="1:7">
      <c r="A764" s="522"/>
      <c r="B764" s="522"/>
      <c r="C764" s="522"/>
      <c r="D764" s="522"/>
      <c r="E764" s="522"/>
      <c r="F764" s="522"/>
      <c r="G764" s="522"/>
    </row>
    <row r="765" spans="1:7">
      <c r="A765" s="522"/>
      <c r="B765" s="522"/>
      <c r="C765" s="522"/>
      <c r="D765" s="522"/>
      <c r="E765" s="522"/>
      <c r="F765" s="522"/>
      <c r="G765" s="522"/>
    </row>
    <row r="766" spans="1:7">
      <c r="A766" s="522"/>
      <c r="B766" s="522"/>
      <c r="C766" s="522"/>
      <c r="D766" s="522"/>
      <c r="E766" s="522"/>
      <c r="F766" s="522"/>
      <c r="G766" s="522"/>
    </row>
    <row r="767" spans="1:7">
      <c r="A767" s="522"/>
      <c r="B767" s="522"/>
      <c r="C767" s="522"/>
      <c r="D767" s="522"/>
      <c r="E767" s="522"/>
      <c r="F767" s="522"/>
      <c r="G767" s="522"/>
    </row>
    <row r="768" spans="1:7">
      <c r="A768" s="522"/>
      <c r="B768" s="522"/>
      <c r="C768" s="522"/>
      <c r="D768" s="522"/>
      <c r="E768" s="522"/>
      <c r="F768" s="522"/>
      <c r="G768" s="522"/>
    </row>
    <row r="769" spans="1:7">
      <c r="A769" s="522"/>
      <c r="B769" s="522"/>
      <c r="C769" s="522"/>
      <c r="D769" s="522"/>
      <c r="E769" s="522"/>
      <c r="F769" s="522"/>
      <c r="G769" s="522"/>
    </row>
    <row r="770" spans="1:7">
      <c r="A770" s="522"/>
      <c r="B770" s="522"/>
      <c r="C770" s="522"/>
      <c r="D770" s="522"/>
      <c r="E770" s="522"/>
      <c r="F770" s="522"/>
      <c r="G770" s="522"/>
    </row>
    <row r="771" spans="1:7">
      <c r="A771" s="522"/>
      <c r="B771" s="522"/>
      <c r="C771" s="522"/>
      <c r="D771" s="522"/>
      <c r="E771" s="522"/>
      <c r="F771" s="522"/>
      <c r="G771" s="522"/>
    </row>
    <row r="772" spans="1:7">
      <c r="A772" s="522"/>
      <c r="B772" s="522"/>
      <c r="C772" s="522"/>
      <c r="D772" s="522"/>
      <c r="E772" s="522"/>
      <c r="F772" s="522"/>
      <c r="G772" s="522"/>
    </row>
    <row r="773" spans="1:7">
      <c r="A773" s="522"/>
      <c r="B773" s="522"/>
      <c r="C773" s="522"/>
      <c r="D773" s="522"/>
      <c r="E773" s="522"/>
      <c r="F773" s="522"/>
      <c r="G773" s="522"/>
    </row>
    <row r="774" spans="1:7">
      <c r="A774" s="522"/>
      <c r="B774" s="522"/>
      <c r="C774" s="522"/>
      <c r="D774" s="522"/>
      <c r="E774" s="522"/>
      <c r="F774" s="522"/>
      <c r="G774" s="522"/>
    </row>
    <row r="775" spans="1:7">
      <c r="A775" s="522"/>
      <c r="B775" s="522"/>
      <c r="C775" s="522"/>
      <c r="D775" s="522"/>
      <c r="E775" s="522"/>
      <c r="F775" s="522"/>
      <c r="G775" s="522"/>
    </row>
    <row r="776" spans="1:7">
      <c r="A776" s="522"/>
      <c r="B776" s="522"/>
      <c r="C776" s="522"/>
      <c r="D776" s="522"/>
      <c r="E776" s="522"/>
      <c r="F776" s="522"/>
      <c r="G776" s="522"/>
    </row>
    <row r="777" spans="1:7">
      <c r="A777" s="522"/>
      <c r="B777" s="522"/>
      <c r="C777" s="522"/>
      <c r="D777" s="522"/>
      <c r="E777" s="522"/>
      <c r="F777" s="522"/>
      <c r="G777" s="522"/>
    </row>
    <row r="778" spans="1:7">
      <c r="A778" s="522"/>
      <c r="B778" s="522"/>
      <c r="C778" s="522"/>
      <c r="D778" s="522"/>
      <c r="E778" s="522"/>
      <c r="F778" s="522"/>
      <c r="G778" s="522"/>
    </row>
    <row r="779" spans="1:7">
      <c r="A779" s="522"/>
      <c r="B779" s="522"/>
      <c r="C779" s="522"/>
      <c r="D779" s="522"/>
      <c r="E779" s="522"/>
      <c r="F779" s="522"/>
      <c r="G779" s="522"/>
    </row>
    <row r="780" spans="1:7">
      <c r="A780" s="522"/>
      <c r="B780" s="522"/>
      <c r="C780" s="522"/>
      <c r="D780" s="522"/>
      <c r="E780" s="522"/>
      <c r="F780" s="522"/>
      <c r="G780" s="522"/>
    </row>
    <row r="781" spans="1:7">
      <c r="A781" s="522"/>
      <c r="B781" s="522"/>
      <c r="C781" s="522"/>
      <c r="D781" s="522"/>
      <c r="E781" s="522"/>
      <c r="F781" s="522"/>
      <c r="G781" s="522"/>
    </row>
    <row r="782" spans="1:7">
      <c r="A782" s="522"/>
      <c r="B782" s="522"/>
      <c r="C782" s="522"/>
      <c r="D782" s="522"/>
      <c r="E782" s="522"/>
      <c r="F782" s="522"/>
      <c r="G782" s="522"/>
    </row>
    <row r="783" spans="1:7">
      <c r="A783" s="522"/>
      <c r="B783" s="522"/>
      <c r="C783" s="522"/>
      <c r="D783" s="522"/>
      <c r="E783" s="522"/>
      <c r="F783" s="522"/>
      <c r="G783" s="522"/>
    </row>
    <row r="784" spans="1:7">
      <c r="A784" s="522"/>
      <c r="B784" s="522"/>
      <c r="C784" s="522"/>
      <c r="D784" s="522"/>
      <c r="E784" s="522"/>
      <c r="F784" s="522"/>
      <c r="G784" s="522"/>
    </row>
    <row r="785" spans="1:7">
      <c r="A785" s="522"/>
      <c r="B785" s="522"/>
      <c r="C785" s="522"/>
      <c r="D785" s="522"/>
      <c r="E785" s="522"/>
      <c r="F785" s="522"/>
      <c r="G785" s="522"/>
    </row>
    <row r="786" spans="1:7">
      <c r="A786" s="522"/>
      <c r="B786" s="522"/>
      <c r="C786" s="522"/>
      <c r="D786" s="522"/>
      <c r="E786" s="522"/>
      <c r="F786" s="522"/>
      <c r="G786" s="522"/>
    </row>
    <row r="787" spans="1:7">
      <c r="A787" s="522"/>
      <c r="B787" s="522"/>
      <c r="C787" s="522"/>
      <c r="D787" s="522"/>
      <c r="E787" s="522"/>
      <c r="F787" s="522"/>
      <c r="G787" s="522"/>
    </row>
    <row r="788" spans="1:7">
      <c r="A788" s="522"/>
      <c r="B788" s="522"/>
      <c r="C788" s="522"/>
      <c r="D788" s="522"/>
      <c r="E788" s="522"/>
      <c r="F788" s="522"/>
      <c r="G788" s="522"/>
    </row>
    <row r="789" spans="1:7">
      <c r="A789" s="522"/>
      <c r="B789" s="522"/>
      <c r="C789" s="522"/>
      <c r="D789" s="522"/>
      <c r="E789" s="522"/>
      <c r="F789" s="522"/>
      <c r="G789" s="522"/>
    </row>
    <row r="790" spans="1:7">
      <c r="A790" s="522"/>
      <c r="B790" s="522"/>
      <c r="C790" s="522"/>
      <c r="D790" s="522"/>
      <c r="E790" s="522"/>
      <c r="F790" s="522"/>
      <c r="G790" s="522"/>
    </row>
    <row r="791" spans="1:7">
      <c r="A791" s="522"/>
      <c r="B791" s="522"/>
      <c r="C791" s="522"/>
      <c r="D791" s="522"/>
      <c r="E791" s="522"/>
      <c r="F791" s="522"/>
      <c r="G791" s="522"/>
    </row>
    <row r="792" spans="1:7">
      <c r="A792" s="522"/>
      <c r="B792" s="522"/>
      <c r="C792" s="522"/>
      <c r="D792" s="522"/>
      <c r="E792" s="522"/>
      <c r="F792" s="522"/>
      <c r="G792" s="522"/>
    </row>
    <row r="793" spans="1:7">
      <c r="A793" s="522"/>
      <c r="B793" s="522"/>
      <c r="C793" s="522"/>
      <c r="D793" s="522"/>
      <c r="E793" s="522"/>
      <c r="F793" s="522"/>
      <c r="G793" s="522"/>
    </row>
    <row r="794" spans="1:7">
      <c r="A794" s="522"/>
      <c r="B794" s="522"/>
      <c r="C794" s="522"/>
      <c r="D794" s="522"/>
      <c r="E794" s="522"/>
      <c r="F794" s="522"/>
      <c r="G794" s="522"/>
    </row>
    <row r="795" spans="1:7">
      <c r="A795" s="522"/>
      <c r="B795" s="522"/>
      <c r="C795" s="522"/>
      <c r="D795" s="522"/>
      <c r="E795" s="522"/>
      <c r="F795" s="522"/>
      <c r="G795" s="522"/>
    </row>
    <row r="796" spans="1:7">
      <c r="A796" s="522"/>
      <c r="B796" s="522"/>
      <c r="C796" s="522"/>
      <c r="D796" s="522"/>
      <c r="E796" s="522"/>
      <c r="F796" s="522"/>
      <c r="G796" s="522"/>
    </row>
    <row r="797" spans="1:7">
      <c r="A797" s="522"/>
      <c r="B797" s="522"/>
      <c r="C797" s="522"/>
      <c r="D797" s="522"/>
      <c r="E797" s="522"/>
      <c r="F797" s="522"/>
      <c r="G797" s="522"/>
    </row>
    <row r="798" spans="1:7">
      <c r="A798" s="522"/>
      <c r="B798" s="522"/>
      <c r="C798" s="522"/>
      <c r="D798" s="522"/>
      <c r="E798" s="522"/>
      <c r="F798" s="522"/>
      <c r="G798" s="522"/>
    </row>
    <row r="799" spans="1:7">
      <c r="A799" s="522"/>
      <c r="B799" s="522"/>
      <c r="C799" s="522"/>
      <c r="D799" s="522"/>
      <c r="E799" s="522"/>
      <c r="F799" s="522"/>
      <c r="G799" s="522"/>
    </row>
    <row r="800" spans="1:7">
      <c r="A800" s="522"/>
      <c r="B800" s="522"/>
      <c r="C800" s="522"/>
      <c r="D800" s="522"/>
      <c r="E800" s="522"/>
      <c r="F800" s="522"/>
      <c r="G800" s="522"/>
    </row>
    <row r="801" spans="1:7">
      <c r="A801" s="522"/>
      <c r="B801" s="522"/>
      <c r="C801" s="522"/>
      <c r="D801" s="522"/>
      <c r="E801" s="522"/>
      <c r="F801" s="522"/>
      <c r="G801" s="522"/>
    </row>
    <row r="802" spans="1:7">
      <c r="A802" s="522"/>
      <c r="B802" s="522"/>
      <c r="C802" s="522"/>
      <c r="D802" s="522"/>
      <c r="E802" s="522"/>
      <c r="F802" s="522"/>
      <c r="G802" s="522"/>
    </row>
    <row r="803" spans="1:7">
      <c r="A803" s="522"/>
      <c r="B803" s="522"/>
      <c r="C803" s="522"/>
      <c r="D803" s="522"/>
      <c r="E803" s="522"/>
      <c r="F803" s="522"/>
      <c r="G803" s="522"/>
    </row>
    <row r="804" spans="1:7">
      <c r="A804" s="522"/>
      <c r="B804" s="522"/>
      <c r="C804" s="522"/>
      <c r="D804" s="522"/>
      <c r="E804" s="522"/>
      <c r="F804" s="522"/>
      <c r="G804" s="522"/>
    </row>
    <row r="805" spans="1:7">
      <c r="A805" s="522"/>
      <c r="B805" s="522"/>
      <c r="C805" s="522"/>
      <c r="D805" s="522"/>
      <c r="E805" s="522"/>
      <c r="F805" s="522"/>
      <c r="G805" s="522"/>
    </row>
    <row r="806" spans="1:7">
      <c r="A806" s="522"/>
      <c r="B806" s="522"/>
      <c r="C806" s="522"/>
      <c r="D806" s="522"/>
      <c r="E806" s="522"/>
      <c r="F806" s="522"/>
      <c r="G806" s="522"/>
    </row>
    <row r="807" spans="1:7">
      <c r="A807" s="522"/>
      <c r="B807" s="522"/>
      <c r="C807" s="522"/>
      <c r="D807" s="522"/>
      <c r="E807" s="522"/>
      <c r="F807" s="522"/>
      <c r="G807" s="522"/>
    </row>
    <row r="808" spans="1:7">
      <c r="A808" s="522"/>
      <c r="B808" s="522"/>
      <c r="C808" s="522"/>
      <c r="D808" s="522"/>
      <c r="E808" s="522"/>
      <c r="F808" s="522"/>
      <c r="G808" s="522"/>
    </row>
    <row r="809" spans="1:7">
      <c r="A809" s="522"/>
      <c r="B809" s="522"/>
      <c r="C809" s="522"/>
      <c r="D809" s="522"/>
      <c r="E809" s="522"/>
      <c r="F809" s="522"/>
      <c r="G809" s="522"/>
    </row>
    <row r="810" spans="1:7">
      <c r="A810" s="522"/>
      <c r="B810" s="522"/>
      <c r="C810" s="522"/>
      <c r="D810" s="522"/>
      <c r="E810" s="522"/>
      <c r="F810" s="522"/>
      <c r="G810" s="522"/>
    </row>
    <row r="811" spans="1:7">
      <c r="A811" s="522"/>
      <c r="B811" s="522"/>
      <c r="C811" s="522"/>
      <c r="D811" s="522"/>
      <c r="E811" s="522"/>
      <c r="F811" s="522"/>
      <c r="G811" s="522"/>
    </row>
    <row r="812" spans="1:7">
      <c r="A812" s="522"/>
      <c r="B812" s="522"/>
      <c r="C812" s="522"/>
      <c r="D812" s="522"/>
      <c r="E812" s="522"/>
      <c r="F812" s="522"/>
      <c r="G812" s="522"/>
    </row>
    <row r="813" spans="1:7">
      <c r="A813" s="522"/>
      <c r="B813" s="522"/>
      <c r="C813" s="522"/>
      <c r="D813" s="522"/>
      <c r="E813" s="522"/>
      <c r="F813" s="522"/>
      <c r="G813" s="522"/>
    </row>
    <row r="814" spans="1:7">
      <c r="A814" s="522"/>
      <c r="B814" s="522"/>
      <c r="C814" s="522"/>
      <c r="D814" s="522"/>
      <c r="E814" s="522"/>
      <c r="F814" s="522"/>
      <c r="G814" s="522"/>
    </row>
    <row r="815" spans="1:7">
      <c r="A815" s="522"/>
      <c r="B815" s="522"/>
      <c r="C815" s="522"/>
      <c r="D815" s="522"/>
      <c r="E815" s="522"/>
      <c r="F815" s="522"/>
      <c r="G815" s="522"/>
    </row>
    <row r="816" spans="1:7">
      <c r="A816" s="522"/>
      <c r="B816" s="522"/>
      <c r="C816" s="522"/>
      <c r="D816" s="522"/>
      <c r="E816" s="522"/>
      <c r="F816" s="522"/>
      <c r="G816" s="522"/>
    </row>
    <row r="817" spans="1:7">
      <c r="A817" s="522"/>
      <c r="B817" s="522"/>
      <c r="C817" s="522"/>
      <c r="D817" s="522"/>
      <c r="E817" s="522"/>
      <c r="F817" s="522"/>
      <c r="G817" s="522"/>
    </row>
    <row r="818" spans="1:7">
      <c r="A818" s="522"/>
      <c r="B818" s="522"/>
      <c r="C818" s="522"/>
      <c r="D818" s="522"/>
      <c r="E818" s="522"/>
      <c r="F818" s="522"/>
      <c r="G818" s="522"/>
    </row>
    <row r="819" spans="1:7">
      <c r="A819" s="522"/>
      <c r="B819" s="522"/>
      <c r="C819" s="522"/>
      <c r="D819" s="522"/>
      <c r="E819" s="522"/>
      <c r="F819" s="522"/>
      <c r="G819" s="522"/>
    </row>
    <row r="820" spans="1:7">
      <c r="A820" s="522"/>
      <c r="B820" s="522"/>
      <c r="C820" s="522"/>
      <c r="D820" s="522"/>
      <c r="E820" s="522"/>
      <c r="F820" s="522"/>
      <c r="G820" s="522"/>
    </row>
    <row r="821" spans="1:7">
      <c r="A821" s="522"/>
      <c r="B821" s="522"/>
      <c r="C821" s="522"/>
      <c r="D821" s="522"/>
      <c r="E821" s="522"/>
      <c r="F821" s="522"/>
      <c r="G821" s="522"/>
    </row>
    <row r="822" spans="1:7">
      <c r="A822" s="522"/>
      <c r="B822" s="522"/>
      <c r="C822" s="522"/>
      <c r="D822" s="522"/>
      <c r="E822" s="522"/>
      <c r="F822" s="522"/>
      <c r="G822" s="522"/>
    </row>
    <row r="823" spans="1:7">
      <c r="A823" s="522"/>
      <c r="B823" s="522"/>
      <c r="C823" s="522"/>
      <c r="D823" s="522"/>
      <c r="E823" s="522"/>
      <c r="F823" s="522"/>
      <c r="G823" s="522"/>
    </row>
    <row r="824" spans="1:7">
      <c r="A824" s="522"/>
      <c r="B824" s="522"/>
      <c r="C824" s="522"/>
      <c r="D824" s="522"/>
      <c r="E824" s="522"/>
      <c r="F824" s="522"/>
      <c r="G824" s="522"/>
    </row>
    <row r="825" spans="1:7">
      <c r="A825" s="522"/>
      <c r="B825" s="522"/>
      <c r="C825" s="522"/>
      <c r="D825" s="522"/>
      <c r="E825" s="522"/>
      <c r="F825" s="522"/>
      <c r="G825" s="522"/>
    </row>
    <row r="826" spans="1:7">
      <c r="A826" s="522"/>
      <c r="B826" s="522"/>
      <c r="C826" s="522"/>
      <c r="D826" s="522"/>
      <c r="E826" s="522"/>
      <c r="F826" s="522"/>
      <c r="G826" s="522"/>
    </row>
    <row r="827" spans="1:7">
      <c r="A827" s="522"/>
      <c r="B827" s="522"/>
      <c r="C827" s="522"/>
      <c r="D827" s="522"/>
      <c r="E827" s="522"/>
      <c r="F827" s="522"/>
      <c r="G827" s="522"/>
    </row>
    <row r="828" spans="1:7">
      <c r="A828" s="522"/>
      <c r="B828" s="522"/>
      <c r="C828" s="522"/>
      <c r="D828" s="522"/>
      <c r="E828" s="522"/>
      <c r="F828" s="522"/>
      <c r="G828" s="522"/>
    </row>
    <row r="829" spans="1:7">
      <c r="A829" s="522"/>
      <c r="B829" s="522"/>
      <c r="C829" s="522"/>
      <c r="D829" s="522"/>
      <c r="E829" s="522"/>
      <c r="F829" s="522"/>
      <c r="G829" s="522"/>
    </row>
    <row r="830" spans="1:7">
      <c r="A830" s="522"/>
      <c r="B830" s="522"/>
      <c r="C830" s="522"/>
      <c r="D830" s="522"/>
      <c r="E830" s="522"/>
      <c r="F830" s="522"/>
      <c r="G830" s="522"/>
    </row>
    <row r="831" spans="1:7">
      <c r="A831" s="522"/>
      <c r="B831" s="522"/>
      <c r="C831" s="522"/>
      <c r="D831" s="522"/>
      <c r="E831" s="522"/>
      <c r="F831" s="522"/>
      <c r="G831" s="522"/>
    </row>
    <row r="832" spans="1:7">
      <c r="A832" s="522"/>
      <c r="B832" s="522"/>
      <c r="C832" s="522"/>
      <c r="D832" s="522"/>
      <c r="E832" s="522"/>
      <c r="F832" s="522"/>
      <c r="G832" s="522"/>
    </row>
    <row r="833" spans="1:7">
      <c r="A833" s="522"/>
      <c r="B833" s="522"/>
      <c r="C833" s="522"/>
      <c r="D833" s="522"/>
      <c r="E833" s="522"/>
      <c r="F833" s="522"/>
      <c r="G833" s="522"/>
    </row>
    <row r="834" spans="1:7">
      <c r="A834" s="522"/>
      <c r="B834" s="522"/>
      <c r="C834" s="522"/>
      <c r="D834" s="522"/>
      <c r="E834" s="522"/>
      <c r="F834" s="522"/>
      <c r="G834" s="522"/>
    </row>
    <row r="835" spans="1:7">
      <c r="A835" s="522"/>
      <c r="B835" s="522"/>
      <c r="C835" s="522"/>
      <c r="D835" s="522"/>
      <c r="E835" s="522"/>
      <c r="F835" s="522"/>
      <c r="G835" s="522"/>
    </row>
    <row r="836" spans="1:7">
      <c r="A836" s="522"/>
      <c r="B836" s="522"/>
      <c r="C836" s="522"/>
      <c r="D836" s="522"/>
      <c r="E836" s="522"/>
      <c r="F836" s="522"/>
      <c r="G836" s="522"/>
    </row>
    <row r="837" spans="1:7">
      <c r="A837" s="522"/>
      <c r="B837" s="522"/>
      <c r="C837" s="522"/>
      <c r="D837" s="522"/>
      <c r="E837" s="522"/>
      <c r="F837" s="522"/>
      <c r="G837" s="522"/>
    </row>
    <row r="838" spans="1:7">
      <c r="A838" s="522"/>
      <c r="B838" s="522"/>
      <c r="C838" s="522"/>
      <c r="D838" s="522"/>
      <c r="E838" s="522"/>
      <c r="F838" s="522"/>
      <c r="G838" s="522"/>
    </row>
    <row r="839" spans="1:7">
      <c r="A839" s="522"/>
      <c r="B839" s="522"/>
      <c r="C839" s="522"/>
      <c r="D839" s="522"/>
      <c r="E839" s="522"/>
      <c r="F839" s="522"/>
      <c r="G839" s="522"/>
    </row>
    <row r="840" spans="1:7">
      <c r="A840" s="522"/>
      <c r="B840" s="522"/>
      <c r="C840" s="522"/>
      <c r="D840" s="522"/>
      <c r="E840" s="522"/>
      <c r="F840" s="522"/>
      <c r="G840" s="522"/>
    </row>
    <row r="841" spans="1:7">
      <c r="A841" s="522"/>
      <c r="B841" s="522"/>
      <c r="C841" s="522"/>
      <c r="D841" s="522"/>
      <c r="E841" s="522"/>
      <c r="F841" s="522"/>
      <c r="G841" s="522"/>
    </row>
    <row r="842" spans="1:7">
      <c r="A842" s="522"/>
      <c r="B842" s="522"/>
      <c r="C842" s="522"/>
      <c r="D842" s="522"/>
      <c r="E842" s="522"/>
      <c r="F842" s="522"/>
      <c r="G842" s="522"/>
    </row>
    <row r="843" spans="1:7">
      <c r="A843" s="522"/>
      <c r="B843" s="522"/>
      <c r="C843" s="522"/>
      <c r="D843" s="522"/>
      <c r="E843" s="522"/>
      <c r="F843" s="522"/>
      <c r="G843" s="522"/>
    </row>
    <row r="844" spans="1:7">
      <c r="A844" s="522"/>
      <c r="B844" s="522"/>
      <c r="C844" s="522"/>
      <c r="D844" s="522"/>
      <c r="E844" s="522"/>
      <c r="F844" s="522"/>
      <c r="G844" s="522"/>
    </row>
    <row r="845" spans="1:7">
      <c r="A845" s="522"/>
      <c r="B845" s="522"/>
      <c r="C845" s="522"/>
      <c r="D845" s="522"/>
      <c r="E845" s="522"/>
      <c r="F845" s="522"/>
      <c r="G845" s="522"/>
    </row>
    <row r="846" spans="1:7">
      <c r="A846" s="522"/>
      <c r="B846" s="522"/>
      <c r="C846" s="522"/>
      <c r="D846" s="522"/>
      <c r="E846" s="522"/>
      <c r="F846" s="522"/>
      <c r="G846" s="522"/>
    </row>
    <row r="847" spans="1:7">
      <c r="A847" s="522"/>
      <c r="B847" s="522"/>
      <c r="C847" s="522"/>
      <c r="D847" s="522"/>
      <c r="E847" s="522"/>
      <c r="F847" s="522"/>
      <c r="G847" s="522"/>
    </row>
    <row r="848" spans="1:7">
      <c r="A848" s="522"/>
      <c r="B848" s="522"/>
      <c r="C848" s="522"/>
      <c r="D848" s="522"/>
      <c r="E848" s="522"/>
      <c r="F848" s="522"/>
      <c r="G848" s="522"/>
    </row>
    <row r="849" spans="1:7">
      <c r="A849" s="522"/>
      <c r="B849" s="522"/>
      <c r="C849" s="522"/>
      <c r="D849" s="522"/>
      <c r="E849" s="522"/>
      <c r="F849" s="522"/>
      <c r="G849" s="522"/>
    </row>
    <row r="850" spans="1:7">
      <c r="A850" s="522"/>
      <c r="B850" s="522"/>
      <c r="C850" s="522"/>
      <c r="D850" s="522"/>
      <c r="E850" s="522"/>
      <c r="F850" s="522"/>
      <c r="G850" s="522"/>
    </row>
    <row r="851" spans="1:7">
      <c r="A851" s="522"/>
      <c r="B851" s="522"/>
      <c r="C851" s="522"/>
      <c r="D851" s="522"/>
      <c r="E851" s="522"/>
      <c r="F851" s="522"/>
      <c r="G851" s="522"/>
    </row>
    <row r="852" spans="1:7">
      <c r="A852" s="522"/>
      <c r="B852" s="522"/>
      <c r="C852" s="522"/>
      <c r="D852" s="522"/>
      <c r="E852" s="522"/>
      <c r="F852" s="522"/>
      <c r="G852" s="522"/>
    </row>
    <row r="853" spans="1:7">
      <c r="A853" s="522"/>
      <c r="B853" s="522"/>
      <c r="C853" s="522"/>
      <c r="D853" s="522"/>
      <c r="E853" s="522"/>
      <c r="F853" s="522"/>
      <c r="G853" s="522"/>
    </row>
    <row r="854" spans="1:7">
      <c r="A854" s="522"/>
      <c r="B854" s="522"/>
      <c r="C854" s="522"/>
      <c r="D854" s="522"/>
      <c r="E854" s="522"/>
      <c r="F854" s="522"/>
      <c r="G854" s="522"/>
    </row>
    <row r="855" spans="1:7">
      <c r="A855" s="522"/>
      <c r="B855" s="522"/>
      <c r="C855" s="522"/>
      <c r="D855" s="522"/>
      <c r="E855" s="522"/>
      <c r="F855" s="522"/>
      <c r="G855" s="522"/>
    </row>
    <row r="856" spans="1:7">
      <c r="A856" s="522"/>
      <c r="B856" s="522"/>
      <c r="C856" s="522"/>
      <c r="D856" s="522"/>
      <c r="E856" s="522"/>
      <c r="F856" s="522"/>
      <c r="G856" s="522"/>
    </row>
    <row r="857" spans="1:7">
      <c r="A857" s="522"/>
      <c r="B857" s="522"/>
      <c r="C857" s="522"/>
      <c r="D857" s="522"/>
      <c r="E857" s="522"/>
      <c r="F857" s="522"/>
      <c r="G857" s="522"/>
    </row>
    <row r="858" spans="1:7">
      <c r="A858" s="522"/>
      <c r="B858" s="522"/>
      <c r="C858" s="522"/>
      <c r="D858" s="522"/>
      <c r="E858" s="522"/>
      <c r="F858" s="522"/>
      <c r="G858" s="522"/>
    </row>
    <row r="859" spans="1:7">
      <c r="A859" s="522"/>
      <c r="B859" s="522"/>
      <c r="C859" s="522"/>
      <c r="D859" s="522"/>
      <c r="E859" s="522"/>
      <c r="F859" s="522"/>
      <c r="G859" s="522"/>
    </row>
    <row r="860" spans="1:7">
      <c r="A860" s="522"/>
      <c r="B860" s="522"/>
      <c r="C860" s="522"/>
      <c r="D860" s="522"/>
      <c r="E860" s="522"/>
      <c r="F860" s="522"/>
      <c r="G860" s="522"/>
    </row>
    <row r="861" spans="1:7">
      <c r="A861" s="522"/>
      <c r="B861" s="522"/>
      <c r="C861" s="522"/>
      <c r="D861" s="522"/>
      <c r="E861" s="522"/>
      <c r="F861" s="522"/>
      <c r="G861" s="522"/>
    </row>
    <row r="862" spans="1:7">
      <c r="A862" s="522"/>
      <c r="B862" s="522"/>
      <c r="C862" s="522"/>
      <c r="D862" s="522"/>
      <c r="E862" s="522"/>
      <c r="F862" s="522"/>
      <c r="G862" s="522"/>
    </row>
    <row r="863" spans="1:7">
      <c r="A863" s="522"/>
      <c r="B863" s="522"/>
      <c r="C863" s="522"/>
      <c r="D863" s="522"/>
      <c r="E863" s="522"/>
      <c r="F863" s="522"/>
      <c r="G863" s="522"/>
    </row>
    <row r="864" spans="1:7">
      <c r="A864" s="522"/>
      <c r="B864" s="522"/>
      <c r="C864" s="522"/>
      <c r="D864" s="522"/>
      <c r="E864" s="522"/>
      <c r="F864" s="522"/>
      <c r="G864" s="522"/>
    </row>
    <row r="865" spans="1:7">
      <c r="A865" s="522"/>
      <c r="B865" s="522"/>
      <c r="C865" s="522"/>
      <c r="D865" s="522"/>
      <c r="E865" s="522"/>
      <c r="F865" s="522"/>
      <c r="G865" s="522"/>
    </row>
    <row r="866" spans="1:7">
      <c r="A866" s="522"/>
      <c r="B866" s="522"/>
      <c r="C866" s="522"/>
      <c r="D866" s="522"/>
      <c r="E866" s="522"/>
      <c r="F866" s="522"/>
      <c r="G866" s="522"/>
    </row>
    <row r="867" spans="1:7">
      <c r="A867" s="522"/>
      <c r="B867" s="522"/>
      <c r="C867" s="522"/>
      <c r="D867" s="522"/>
      <c r="E867" s="522"/>
      <c r="F867" s="522"/>
      <c r="G867" s="522"/>
    </row>
    <row r="868" spans="1:7">
      <c r="A868" s="522"/>
      <c r="B868" s="522"/>
      <c r="C868" s="522"/>
      <c r="D868" s="522"/>
      <c r="E868" s="522"/>
      <c r="F868" s="522"/>
      <c r="G868" s="522"/>
    </row>
    <row r="869" spans="1:7">
      <c r="A869" s="522"/>
      <c r="B869" s="522"/>
      <c r="C869" s="522"/>
      <c r="D869" s="522"/>
      <c r="E869" s="522"/>
      <c r="F869" s="522"/>
      <c r="G869" s="522"/>
    </row>
    <row r="870" spans="1:7">
      <c r="A870" s="522"/>
      <c r="B870" s="522"/>
      <c r="C870" s="522"/>
      <c r="D870" s="522"/>
      <c r="E870" s="522"/>
      <c r="F870" s="522"/>
      <c r="G870" s="522"/>
    </row>
    <row r="871" spans="1:7">
      <c r="A871" s="522"/>
      <c r="B871" s="522"/>
      <c r="C871" s="522"/>
      <c r="D871" s="522"/>
      <c r="E871" s="522"/>
      <c r="F871" s="522"/>
      <c r="G871" s="522"/>
    </row>
    <row r="872" spans="1:7">
      <c r="A872" s="522"/>
      <c r="B872" s="522"/>
      <c r="C872" s="522"/>
      <c r="D872" s="522"/>
      <c r="E872" s="522"/>
      <c r="F872" s="522"/>
      <c r="G872" s="522"/>
    </row>
    <row r="873" spans="1:7">
      <c r="A873" s="522"/>
      <c r="B873" s="522"/>
      <c r="C873" s="522"/>
      <c r="D873" s="522"/>
      <c r="E873" s="522"/>
      <c r="F873" s="522"/>
      <c r="G873" s="522"/>
    </row>
    <row r="874" spans="1:7">
      <c r="A874" s="522"/>
      <c r="B874" s="522"/>
      <c r="C874" s="522"/>
      <c r="D874" s="522"/>
      <c r="E874" s="522"/>
      <c r="F874" s="522"/>
      <c r="G874" s="522"/>
    </row>
    <row r="875" spans="1:7">
      <c r="A875" s="522"/>
      <c r="B875" s="522"/>
      <c r="C875" s="522"/>
      <c r="D875" s="522"/>
      <c r="E875" s="522"/>
      <c r="F875" s="522"/>
      <c r="G875" s="522"/>
    </row>
    <row r="876" spans="1:7">
      <c r="A876" s="522"/>
      <c r="B876" s="522"/>
      <c r="C876" s="522"/>
      <c r="D876" s="522"/>
      <c r="E876" s="522"/>
      <c r="F876" s="522"/>
      <c r="G876" s="522"/>
    </row>
    <row r="877" spans="1:7">
      <c r="A877" s="522"/>
      <c r="B877" s="522"/>
      <c r="C877" s="522"/>
      <c r="D877" s="522"/>
      <c r="E877" s="522"/>
      <c r="F877" s="522"/>
      <c r="G877" s="522"/>
    </row>
    <row r="878" spans="1:7">
      <c r="A878" s="522"/>
      <c r="B878" s="522"/>
      <c r="C878" s="522"/>
      <c r="D878" s="522"/>
      <c r="E878" s="522"/>
      <c r="F878" s="522"/>
      <c r="G878" s="522"/>
    </row>
    <row r="879" spans="1:7">
      <c r="A879" s="522"/>
      <c r="B879" s="522"/>
      <c r="C879" s="522"/>
      <c r="D879" s="522"/>
      <c r="E879" s="522"/>
      <c r="F879" s="522"/>
      <c r="G879" s="522"/>
    </row>
    <row r="880" spans="1:7">
      <c r="A880" s="522"/>
      <c r="B880" s="522"/>
      <c r="C880" s="522"/>
      <c r="D880" s="522"/>
      <c r="E880" s="522"/>
      <c r="F880" s="522"/>
      <c r="G880" s="522"/>
    </row>
    <row r="881" spans="1:7">
      <c r="A881" s="522"/>
      <c r="B881" s="522"/>
      <c r="C881" s="522"/>
      <c r="D881" s="522"/>
      <c r="E881" s="522"/>
      <c r="F881" s="522"/>
      <c r="G881" s="522"/>
    </row>
    <row r="882" spans="1:7">
      <c r="A882" s="522"/>
      <c r="B882" s="522"/>
      <c r="C882" s="522"/>
      <c r="D882" s="522"/>
      <c r="E882" s="522"/>
      <c r="F882" s="522"/>
      <c r="G882" s="522"/>
    </row>
    <row r="883" spans="1:7">
      <c r="A883" s="522"/>
      <c r="B883" s="522"/>
      <c r="C883" s="522"/>
      <c r="D883" s="522"/>
      <c r="E883" s="522"/>
      <c r="F883" s="522"/>
      <c r="G883" s="522"/>
    </row>
    <row r="884" spans="1:7">
      <c r="A884" s="522"/>
      <c r="B884" s="522"/>
      <c r="C884" s="522"/>
      <c r="D884" s="522"/>
      <c r="E884" s="522"/>
      <c r="F884" s="522"/>
      <c r="G884" s="522"/>
    </row>
    <row r="885" spans="1:7">
      <c r="A885" s="522"/>
      <c r="B885" s="522"/>
      <c r="C885" s="522"/>
      <c r="D885" s="522"/>
      <c r="E885" s="522"/>
      <c r="F885" s="522"/>
      <c r="G885" s="522"/>
    </row>
    <row r="886" spans="1:7">
      <c r="A886" s="522"/>
      <c r="B886" s="522"/>
      <c r="C886" s="522"/>
      <c r="D886" s="522"/>
      <c r="E886" s="522"/>
      <c r="F886" s="522"/>
      <c r="G886" s="522"/>
    </row>
    <row r="887" spans="1:7">
      <c r="A887" s="522"/>
      <c r="B887" s="522"/>
      <c r="C887" s="522"/>
      <c r="D887" s="522"/>
      <c r="E887" s="522"/>
      <c r="F887" s="522"/>
      <c r="G887" s="522"/>
    </row>
    <row r="888" spans="1:7">
      <c r="A888" s="522"/>
      <c r="B888" s="522"/>
      <c r="C888" s="522"/>
      <c r="D888" s="522"/>
      <c r="E888" s="522"/>
      <c r="F888" s="522"/>
      <c r="G888" s="522"/>
    </row>
    <row r="889" spans="1:7">
      <c r="A889" s="522"/>
      <c r="B889" s="522"/>
      <c r="C889" s="522"/>
      <c r="D889" s="522"/>
      <c r="E889" s="522"/>
      <c r="F889" s="522"/>
      <c r="G889" s="522"/>
    </row>
    <row r="890" spans="1:7">
      <c r="A890" s="522"/>
      <c r="B890" s="522"/>
      <c r="C890" s="522"/>
      <c r="D890" s="522"/>
      <c r="E890" s="522"/>
      <c r="F890" s="522"/>
      <c r="G890" s="522"/>
    </row>
    <row r="891" spans="1:7">
      <c r="A891" s="522"/>
      <c r="B891" s="522"/>
      <c r="C891" s="522"/>
      <c r="D891" s="522"/>
      <c r="E891" s="522"/>
      <c r="F891" s="522"/>
      <c r="G891" s="522"/>
    </row>
    <row r="892" spans="1:7">
      <c r="A892" s="522"/>
      <c r="B892" s="522"/>
      <c r="C892" s="522"/>
      <c r="D892" s="522"/>
      <c r="E892" s="522"/>
      <c r="F892" s="522"/>
      <c r="G892" s="522"/>
    </row>
    <row r="893" spans="1:7">
      <c r="A893" s="522"/>
      <c r="B893" s="522"/>
      <c r="C893" s="522"/>
      <c r="D893" s="522"/>
      <c r="E893" s="522"/>
      <c r="F893" s="522"/>
      <c r="G893" s="522"/>
    </row>
    <row r="894" spans="1:7">
      <c r="A894" s="522"/>
      <c r="B894" s="522"/>
      <c r="C894" s="522"/>
      <c r="D894" s="522"/>
      <c r="E894" s="522"/>
      <c r="F894" s="522"/>
      <c r="G894" s="522"/>
    </row>
    <row r="895" spans="1:7">
      <c r="A895" s="522"/>
      <c r="B895" s="522"/>
      <c r="C895" s="522"/>
      <c r="D895" s="522"/>
      <c r="E895" s="522"/>
      <c r="F895" s="522"/>
      <c r="G895" s="522"/>
    </row>
    <row r="896" spans="1:7">
      <c r="A896" s="522"/>
      <c r="B896" s="522"/>
      <c r="C896" s="522"/>
      <c r="D896" s="522"/>
      <c r="E896" s="522"/>
      <c r="F896" s="522"/>
      <c r="G896" s="522"/>
    </row>
    <row r="897" spans="1:7">
      <c r="A897" s="522"/>
      <c r="B897" s="522"/>
      <c r="C897" s="522"/>
      <c r="D897" s="522"/>
      <c r="E897" s="522"/>
      <c r="F897" s="522"/>
      <c r="G897" s="522"/>
    </row>
    <row r="898" spans="1:7">
      <c r="A898" s="522"/>
      <c r="B898" s="522"/>
      <c r="C898" s="522"/>
      <c r="D898" s="522"/>
      <c r="E898" s="522"/>
      <c r="F898" s="522"/>
      <c r="G898" s="522"/>
    </row>
    <row r="899" spans="1:7">
      <c r="A899" s="522"/>
      <c r="B899" s="522"/>
      <c r="C899" s="522"/>
      <c r="D899" s="522"/>
      <c r="E899" s="522"/>
      <c r="F899" s="522"/>
      <c r="G899" s="522"/>
    </row>
    <row r="900" spans="1:7">
      <c r="A900" s="522"/>
      <c r="B900" s="522"/>
      <c r="C900" s="522"/>
      <c r="D900" s="522"/>
      <c r="E900" s="522"/>
      <c r="F900" s="522"/>
      <c r="G900" s="522"/>
    </row>
    <row r="901" spans="1:7">
      <c r="A901" s="522"/>
      <c r="B901" s="522"/>
      <c r="C901" s="522"/>
      <c r="D901" s="522"/>
      <c r="E901" s="522"/>
      <c r="F901" s="522"/>
      <c r="G901" s="522"/>
    </row>
    <row r="902" spans="1:7">
      <c r="A902" s="522"/>
      <c r="B902" s="522"/>
      <c r="C902" s="522"/>
      <c r="D902" s="522"/>
      <c r="E902" s="522"/>
      <c r="F902" s="522"/>
      <c r="G902" s="522"/>
    </row>
    <row r="903" spans="1:7">
      <c r="A903" s="522"/>
      <c r="B903" s="522"/>
      <c r="C903" s="522"/>
      <c r="D903" s="522"/>
      <c r="E903" s="522"/>
      <c r="F903" s="522"/>
      <c r="G903" s="522"/>
    </row>
    <row r="904" spans="1:7">
      <c r="A904" s="522"/>
      <c r="B904" s="522"/>
      <c r="C904" s="522"/>
      <c r="D904" s="522"/>
      <c r="E904" s="522"/>
      <c r="F904" s="522"/>
      <c r="G904" s="522"/>
    </row>
    <row r="905" spans="1:7">
      <c r="A905" s="522"/>
      <c r="B905" s="522"/>
      <c r="C905" s="522"/>
      <c r="D905" s="522"/>
      <c r="E905" s="522"/>
      <c r="F905" s="522"/>
      <c r="G905" s="522"/>
    </row>
    <row r="906" spans="1:7">
      <c r="A906" s="522"/>
      <c r="B906" s="522"/>
      <c r="C906" s="522"/>
      <c r="D906" s="522"/>
      <c r="E906" s="522"/>
      <c r="F906" s="522"/>
      <c r="G906" s="522"/>
    </row>
    <row r="907" spans="1:7">
      <c r="A907" s="522"/>
      <c r="B907" s="522"/>
      <c r="C907" s="522"/>
      <c r="D907" s="522"/>
      <c r="E907" s="522"/>
      <c r="F907" s="522"/>
      <c r="G907" s="522"/>
    </row>
    <row r="908" spans="1:7">
      <c r="A908" s="522"/>
      <c r="B908" s="522"/>
      <c r="C908" s="522"/>
      <c r="D908" s="522"/>
      <c r="E908" s="522"/>
      <c r="F908" s="522"/>
      <c r="G908" s="522"/>
    </row>
    <row r="909" spans="1:7">
      <c r="A909" s="522"/>
      <c r="B909" s="522"/>
      <c r="C909" s="522"/>
      <c r="D909" s="522"/>
      <c r="E909" s="522"/>
      <c r="F909" s="522"/>
      <c r="G909" s="522"/>
    </row>
    <row r="910" spans="1:7">
      <c r="A910" s="522"/>
      <c r="B910" s="522"/>
      <c r="C910" s="522"/>
      <c r="D910" s="522"/>
      <c r="E910" s="522"/>
      <c r="F910" s="522"/>
      <c r="G910" s="522"/>
    </row>
    <row r="911" spans="1:7">
      <c r="A911" s="522"/>
      <c r="B911" s="522"/>
      <c r="C911" s="522"/>
      <c r="D911" s="522"/>
      <c r="E911" s="522"/>
      <c r="F911" s="522"/>
      <c r="G911" s="522"/>
    </row>
    <row r="912" spans="1:7">
      <c r="A912" s="522"/>
      <c r="B912" s="522"/>
      <c r="C912" s="522"/>
      <c r="D912" s="522"/>
      <c r="E912" s="522"/>
      <c r="F912" s="522"/>
      <c r="G912" s="522"/>
    </row>
    <row r="913" spans="1:7">
      <c r="A913" s="522"/>
      <c r="B913" s="522"/>
      <c r="C913" s="522"/>
      <c r="D913" s="522"/>
      <c r="E913" s="522"/>
      <c r="F913" s="522"/>
      <c r="G913" s="522"/>
    </row>
    <row r="914" spans="1:7">
      <c r="A914" s="522"/>
      <c r="B914" s="522"/>
      <c r="C914" s="522"/>
      <c r="D914" s="522"/>
      <c r="E914" s="522"/>
      <c r="F914" s="522"/>
      <c r="G914" s="522"/>
    </row>
    <row r="915" spans="1:7">
      <c r="A915" s="522"/>
      <c r="B915" s="522"/>
      <c r="C915" s="522"/>
      <c r="D915" s="522"/>
      <c r="E915" s="522"/>
      <c r="F915" s="522"/>
      <c r="G915" s="522"/>
    </row>
    <row r="916" spans="1:7">
      <c r="A916" s="522"/>
      <c r="B916" s="522"/>
      <c r="C916" s="522"/>
      <c r="D916" s="522"/>
      <c r="E916" s="522"/>
      <c r="F916" s="522"/>
      <c r="G916" s="522"/>
    </row>
    <row r="917" spans="1:7">
      <c r="A917" s="522"/>
      <c r="B917" s="522"/>
      <c r="C917" s="522"/>
      <c r="D917" s="522"/>
      <c r="E917" s="522"/>
      <c r="F917" s="522"/>
      <c r="G917" s="522"/>
    </row>
    <row r="918" spans="1:7">
      <c r="A918" s="522"/>
      <c r="B918" s="522"/>
      <c r="C918" s="522"/>
      <c r="D918" s="522"/>
      <c r="E918" s="522"/>
      <c r="F918" s="522"/>
      <c r="G918" s="522"/>
    </row>
    <row r="919" spans="1:7">
      <c r="A919" s="522"/>
      <c r="B919" s="522"/>
      <c r="C919" s="522"/>
      <c r="D919" s="522"/>
      <c r="E919" s="522"/>
      <c r="F919" s="522"/>
      <c r="G919" s="522"/>
    </row>
    <row r="920" spans="1:7">
      <c r="A920" s="522"/>
      <c r="B920" s="522"/>
      <c r="C920" s="522"/>
      <c r="D920" s="522"/>
      <c r="E920" s="522"/>
      <c r="F920" s="522"/>
      <c r="G920" s="522"/>
    </row>
    <row r="921" spans="1:7">
      <c r="A921" s="522"/>
      <c r="B921" s="522"/>
      <c r="C921" s="522"/>
      <c r="D921" s="522"/>
      <c r="E921" s="522"/>
      <c r="F921" s="522"/>
      <c r="G921" s="522"/>
    </row>
    <row r="922" spans="1:7">
      <c r="A922" s="522"/>
      <c r="B922" s="522"/>
      <c r="C922" s="522"/>
      <c r="D922" s="522"/>
      <c r="E922" s="522"/>
      <c r="F922" s="522"/>
      <c r="G922" s="522"/>
    </row>
    <row r="923" spans="1:7">
      <c r="A923" s="522"/>
      <c r="B923" s="522"/>
      <c r="C923" s="522"/>
      <c r="D923" s="522"/>
      <c r="E923" s="522"/>
      <c r="F923" s="522"/>
      <c r="G923" s="522"/>
    </row>
    <row r="924" spans="1:7">
      <c r="A924" s="522"/>
      <c r="B924" s="522"/>
      <c r="C924" s="522"/>
      <c r="D924" s="522"/>
      <c r="E924" s="522"/>
      <c r="F924" s="522"/>
      <c r="G924" s="522"/>
    </row>
    <row r="925" spans="1:7">
      <c r="A925" s="522"/>
      <c r="B925" s="522"/>
      <c r="C925" s="522"/>
      <c r="D925" s="522"/>
      <c r="E925" s="522"/>
      <c r="F925" s="522"/>
      <c r="G925" s="522"/>
    </row>
    <row r="926" spans="1:7">
      <c r="A926" s="522"/>
      <c r="B926" s="522"/>
      <c r="C926" s="522"/>
      <c r="D926" s="522"/>
      <c r="E926" s="522"/>
      <c r="F926" s="522"/>
      <c r="G926" s="522"/>
    </row>
    <row r="927" spans="1:7">
      <c r="A927" s="522"/>
      <c r="B927" s="522"/>
      <c r="C927" s="522"/>
      <c r="D927" s="522"/>
      <c r="E927" s="522"/>
      <c r="F927" s="522"/>
      <c r="G927" s="522"/>
    </row>
    <row r="928" spans="1:7">
      <c r="A928" s="522"/>
      <c r="B928" s="522"/>
      <c r="C928" s="522"/>
      <c r="D928" s="522"/>
      <c r="E928" s="522"/>
      <c r="F928" s="522"/>
      <c r="G928" s="522"/>
    </row>
    <row r="929" spans="1:7">
      <c r="A929" s="522"/>
      <c r="B929" s="522"/>
      <c r="C929" s="522"/>
      <c r="D929" s="522"/>
      <c r="E929" s="522"/>
      <c r="F929" s="522"/>
      <c r="G929" s="522"/>
    </row>
    <row r="930" spans="1:7">
      <c r="A930" s="522"/>
      <c r="B930" s="522"/>
      <c r="C930" s="522"/>
      <c r="D930" s="522"/>
      <c r="E930" s="522"/>
      <c r="F930" s="522"/>
      <c r="G930" s="522"/>
    </row>
    <row r="931" spans="1:7">
      <c r="A931" s="522"/>
      <c r="B931" s="522"/>
      <c r="C931" s="522"/>
      <c r="D931" s="522"/>
      <c r="E931" s="522"/>
      <c r="F931" s="522"/>
      <c r="G931" s="522"/>
    </row>
    <row r="932" spans="1:7">
      <c r="A932" s="522"/>
      <c r="B932" s="522"/>
      <c r="C932" s="522"/>
      <c r="D932" s="522"/>
      <c r="E932" s="522"/>
      <c r="F932" s="522"/>
      <c r="G932" s="522"/>
    </row>
    <row r="933" spans="1:7">
      <c r="A933" s="522"/>
      <c r="B933" s="522"/>
      <c r="C933" s="522"/>
      <c r="D933" s="522"/>
      <c r="E933" s="522"/>
      <c r="F933" s="522"/>
      <c r="G933" s="522"/>
    </row>
    <row r="934" spans="1:7">
      <c r="A934" s="522"/>
      <c r="B934" s="522"/>
      <c r="C934" s="522"/>
      <c r="D934" s="522"/>
      <c r="E934" s="522"/>
      <c r="F934" s="522"/>
      <c r="G934" s="522"/>
    </row>
    <row r="935" spans="1:7">
      <c r="A935" s="522"/>
      <c r="B935" s="522"/>
      <c r="C935" s="522"/>
      <c r="D935" s="522"/>
      <c r="E935" s="522"/>
      <c r="F935" s="522"/>
      <c r="G935" s="522"/>
    </row>
    <row r="936" spans="1:7">
      <c r="A936" s="522"/>
      <c r="B936" s="522"/>
      <c r="C936" s="522"/>
      <c r="D936" s="522"/>
      <c r="E936" s="522"/>
      <c r="F936" s="522"/>
      <c r="G936" s="522"/>
    </row>
    <row r="937" spans="1:7">
      <c r="A937" s="522"/>
      <c r="B937" s="522"/>
      <c r="C937" s="522"/>
      <c r="D937" s="522"/>
      <c r="E937" s="522"/>
      <c r="F937" s="522"/>
      <c r="G937" s="522"/>
    </row>
    <row r="938" spans="1:7">
      <c r="A938" s="522"/>
      <c r="B938" s="522"/>
      <c r="C938" s="522"/>
      <c r="D938" s="522"/>
      <c r="E938" s="522"/>
      <c r="F938" s="522"/>
      <c r="G938" s="522"/>
    </row>
    <row r="939" spans="1:7">
      <c r="A939" s="522"/>
      <c r="B939" s="522"/>
      <c r="C939" s="522"/>
      <c r="D939" s="522"/>
      <c r="E939" s="522"/>
      <c r="F939" s="522"/>
      <c r="G939" s="522"/>
    </row>
    <row r="940" spans="1:7">
      <c r="A940" s="522"/>
      <c r="B940" s="522"/>
      <c r="C940" s="522"/>
      <c r="D940" s="522"/>
      <c r="E940" s="522"/>
      <c r="F940" s="522"/>
      <c r="G940" s="522"/>
    </row>
    <row r="941" spans="1:7">
      <c r="A941" s="522"/>
      <c r="B941" s="522"/>
      <c r="C941" s="522"/>
      <c r="D941" s="522"/>
      <c r="E941" s="522"/>
      <c r="F941" s="522"/>
      <c r="G941" s="522"/>
    </row>
    <row r="942" spans="1:7">
      <c r="A942" s="522"/>
      <c r="B942" s="522"/>
      <c r="C942" s="522"/>
      <c r="D942" s="522"/>
      <c r="E942" s="522"/>
      <c r="F942" s="522"/>
      <c r="G942" s="522"/>
    </row>
    <row r="943" spans="1:7">
      <c r="A943" s="522"/>
      <c r="B943" s="522"/>
      <c r="C943" s="522"/>
      <c r="D943" s="522"/>
      <c r="E943" s="522"/>
      <c r="F943" s="522"/>
      <c r="G943" s="522"/>
    </row>
    <row r="944" spans="1:7">
      <c r="A944" s="522"/>
      <c r="B944" s="522"/>
      <c r="C944" s="522"/>
      <c r="D944" s="522"/>
      <c r="E944" s="522"/>
      <c r="F944" s="522"/>
      <c r="G944" s="522"/>
    </row>
    <row r="945" spans="1:7">
      <c r="A945" s="522"/>
      <c r="B945" s="522"/>
      <c r="C945" s="522"/>
      <c r="D945" s="522"/>
      <c r="E945" s="522"/>
      <c r="F945" s="522"/>
      <c r="G945" s="522"/>
    </row>
    <row r="946" spans="1:7">
      <c r="A946" s="522"/>
      <c r="B946" s="522"/>
      <c r="C946" s="522"/>
      <c r="D946" s="522"/>
      <c r="E946" s="522"/>
      <c r="F946" s="522"/>
      <c r="G946" s="522"/>
    </row>
    <row r="947" spans="1:7">
      <c r="A947" s="522"/>
      <c r="B947" s="522"/>
      <c r="C947" s="522"/>
      <c r="D947" s="522"/>
      <c r="E947" s="522"/>
      <c r="F947" s="522"/>
      <c r="G947" s="522"/>
    </row>
    <row r="948" spans="1:7">
      <c r="A948" s="522"/>
      <c r="B948" s="522"/>
      <c r="C948" s="522"/>
      <c r="D948" s="522"/>
      <c r="E948" s="522"/>
      <c r="F948" s="522"/>
      <c r="G948" s="522"/>
    </row>
    <row r="949" spans="1:7">
      <c r="A949" s="522"/>
      <c r="B949" s="522"/>
      <c r="C949" s="522"/>
      <c r="D949" s="522"/>
      <c r="E949" s="522"/>
      <c r="F949" s="522"/>
      <c r="G949" s="522"/>
    </row>
    <row r="950" spans="1:7">
      <c r="A950" s="522"/>
      <c r="B950" s="522"/>
      <c r="C950" s="522"/>
      <c r="D950" s="522"/>
      <c r="E950" s="522"/>
      <c r="F950" s="522"/>
      <c r="G950" s="522"/>
    </row>
    <row r="951" spans="1:7">
      <c r="A951" s="522"/>
      <c r="B951" s="522"/>
      <c r="C951" s="522"/>
      <c r="D951" s="522"/>
      <c r="E951" s="522"/>
      <c r="F951" s="522"/>
      <c r="G951" s="522"/>
    </row>
    <row r="952" spans="1:7">
      <c r="A952" s="522"/>
      <c r="B952" s="522"/>
      <c r="C952" s="522"/>
      <c r="D952" s="522"/>
      <c r="E952" s="522"/>
      <c r="F952" s="522"/>
      <c r="G952" s="522"/>
    </row>
    <row r="953" spans="1:7">
      <c r="A953" s="522"/>
      <c r="B953" s="522"/>
      <c r="C953" s="522"/>
      <c r="D953" s="522"/>
      <c r="E953" s="522"/>
      <c r="F953" s="522"/>
      <c r="G953" s="522"/>
    </row>
    <row r="954" spans="1:7">
      <c r="A954" s="522"/>
      <c r="B954" s="522"/>
      <c r="C954" s="522"/>
      <c r="D954" s="522"/>
      <c r="E954" s="522"/>
      <c r="F954" s="522"/>
      <c r="G954" s="522"/>
    </row>
    <row r="955" spans="1:7">
      <c r="A955" s="522"/>
      <c r="B955" s="522"/>
      <c r="C955" s="522"/>
      <c r="D955" s="522"/>
      <c r="E955" s="522"/>
      <c r="F955" s="522"/>
      <c r="G955" s="522"/>
    </row>
    <row r="956" spans="1:7">
      <c r="A956" s="522"/>
      <c r="B956" s="522"/>
      <c r="C956" s="522"/>
      <c r="D956" s="522"/>
      <c r="E956" s="522"/>
      <c r="F956" s="522"/>
      <c r="G956" s="522"/>
    </row>
    <row r="957" spans="1:7">
      <c r="A957" s="522"/>
      <c r="B957" s="522"/>
      <c r="C957" s="522"/>
      <c r="D957" s="522"/>
      <c r="E957" s="522"/>
      <c r="F957" s="522"/>
      <c r="G957" s="522"/>
    </row>
    <row r="958" spans="1:7">
      <c r="A958" s="522"/>
      <c r="B958" s="522"/>
      <c r="C958" s="522"/>
      <c r="D958" s="522"/>
      <c r="E958" s="522"/>
      <c r="F958" s="522"/>
      <c r="G958" s="522"/>
    </row>
    <row r="959" spans="1:7">
      <c r="A959" s="522"/>
      <c r="B959" s="522"/>
      <c r="C959" s="522"/>
      <c r="D959" s="522"/>
      <c r="E959" s="522"/>
      <c r="F959" s="522"/>
      <c r="G959" s="522"/>
    </row>
    <row r="960" spans="1:7">
      <c r="A960" s="522"/>
      <c r="B960" s="522"/>
      <c r="C960" s="522"/>
      <c r="D960" s="522"/>
      <c r="E960" s="522"/>
      <c r="F960" s="522"/>
      <c r="G960" s="522"/>
    </row>
    <row r="961" spans="1:7">
      <c r="A961" s="522"/>
      <c r="B961" s="522"/>
      <c r="C961" s="522"/>
      <c r="D961" s="522"/>
      <c r="E961" s="522"/>
      <c r="F961" s="522"/>
      <c r="G961" s="522"/>
    </row>
    <row r="962" spans="1:7">
      <c r="A962" s="522"/>
      <c r="B962" s="522"/>
      <c r="C962" s="522"/>
      <c r="D962" s="522"/>
      <c r="E962" s="522"/>
      <c r="F962" s="522"/>
      <c r="G962" s="522"/>
    </row>
    <row r="963" spans="1:7">
      <c r="A963" s="522"/>
      <c r="B963" s="522"/>
      <c r="C963" s="522"/>
      <c r="D963" s="522"/>
      <c r="E963" s="522"/>
      <c r="F963" s="522"/>
      <c r="G963" s="522"/>
    </row>
    <row r="964" spans="1:7">
      <c r="A964" s="522"/>
      <c r="B964" s="522"/>
      <c r="C964" s="522"/>
      <c r="D964" s="522"/>
      <c r="E964" s="522"/>
      <c r="F964" s="522"/>
      <c r="G964" s="522"/>
    </row>
    <row r="965" spans="1:7">
      <c r="A965" s="522"/>
      <c r="B965" s="522"/>
      <c r="C965" s="522"/>
      <c r="D965" s="522"/>
      <c r="E965" s="522"/>
      <c r="F965" s="522"/>
      <c r="G965" s="522"/>
    </row>
    <row r="966" spans="1:7">
      <c r="A966" s="522"/>
      <c r="B966" s="522"/>
      <c r="C966" s="522"/>
      <c r="D966" s="522"/>
      <c r="E966" s="522"/>
      <c r="F966" s="522"/>
      <c r="G966" s="522"/>
    </row>
    <row r="967" spans="1:7">
      <c r="A967" s="522"/>
      <c r="B967" s="522"/>
      <c r="C967" s="522"/>
      <c r="D967" s="522"/>
      <c r="E967" s="522"/>
      <c r="F967" s="522"/>
      <c r="G967" s="522"/>
    </row>
    <row r="968" spans="1:7">
      <c r="A968" s="522"/>
      <c r="B968" s="522"/>
      <c r="C968" s="522"/>
      <c r="D968" s="522"/>
      <c r="E968" s="522"/>
      <c r="F968" s="522"/>
      <c r="G968" s="522"/>
    </row>
    <row r="969" spans="1:7">
      <c r="A969" s="522"/>
      <c r="B969" s="522"/>
      <c r="C969" s="522"/>
      <c r="D969" s="522"/>
      <c r="E969" s="522"/>
      <c r="F969" s="522"/>
      <c r="G969" s="522"/>
    </row>
    <row r="970" spans="1:7">
      <c r="A970" s="522"/>
      <c r="B970" s="522"/>
      <c r="C970" s="522"/>
      <c r="D970" s="522"/>
      <c r="E970" s="522"/>
      <c r="F970" s="522"/>
      <c r="G970" s="522"/>
    </row>
    <row r="971" spans="1:7">
      <c r="A971" s="522"/>
      <c r="B971" s="522"/>
      <c r="C971" s="522"/>
      <c r="D971" s="522"/>
      <c r="E971" s="522"/>
      <c r="F971" s="522"/>
      <c r="G971" s="522"/>
    </row>
    <row r="972" spans="1:7">
      <c r="A972" s="522"/>
      <c r="B972" s="522"/>
      <c r="C972" s="522"/>
      <c r="D972" s="522"/>
      <c r="E972" s="522"/>
      <c r="F972" s="522"/>
      <c r="G972" s="522"/>
    </row>
    <row r="973" spans="1:7">
      <c r="A973" s="522"/>
      <c r="B973" s="522"/>
      <c r="C973" s="522"/>
      <c r="D973" s="522"/>
      <c r="E973" s="522"/>
      <c r="F973" s="522"/>
      <c r="G973" s="522"/>
    </row>
    <row r="974" spans="1:7">
      <c r="A974" s="522"/>
      <c r="B974" s="522"/>
      <c r="C974" s="522"/>
      <c r="D974" s="522"/>
      <c r="E974" s="522"/>
      <c r="F974" s="522"/>
      <c r="G974" s="522"/>
    </row>
    <row r="975" spans="1:7">
      <c r="A975" s="522"/>
      <c r="B975" s="522"/>
      <c r="C975" s="522"/>
      <c r="D975" s="522"/>
      <c r="E975" s="522"/>
      <c r="F975" s="522"/>
      <c r="G975" s="522"/>
    </row>
    <row r="976" spans="1:7">
      <c r="A976" s="522"/>
      <c r="B976" s="522"/>
      <c r="C976" s="522"/>
      <c r="D976" s="522"/>
      <c r="E976" s="522"/>
      <c r="F976" s="522"/>
      <c r="G976" s="522"/>
    </row>
    <row r="977" spans="1:7">
      <c r="A977" s="522"/>
      <c r="B977" s="522"/>
      <c r="C977" s="522"/>
      <c r="D977" s="522"/>
      <c r="E977" s="522"/>
      <c r="F977" s="522"/>
      <c r="G977" s="522"/>
    </row>
    <row r="978" spans="1:7">
      <c r="A978" s="522"/>
      <c r="B978" s="522"/>
      <c r="C978" s="522"/>
      <c r="D978" s="522"/>
      <c r="E978" s="522"/>
      <c r="F978" s="522"/>
      <c r="G978" s="522"/>
    </row>
    <row r="979" spans="1:7">
      <c r="A979" s="522"/>
      <c r="B979" s="522"/>
      <c r="C979" s="522"/>
      <c r="D979" s="522"/>
      <c r="E979" s="522"/>
      <c r="F979" s="522"/>
      <c r="G979" s="522"/>
    </row>
    <row r="980" spans="1:7">
      <c r="A980" s="522"/>
      <c r="B980" s="522"/>
      <c r="C980" s="522"/>
      <c r="D980" s="522"/>
      <c r="E980" s="522"/>
      <c r="F980" s="522"/>
      <c r="G980" s="522"/>
    </row>
    <row r="981" spans="1:7">
      <c r="A981" s="522"/>
      <c r="B981" s="522"/>
      <c r="C981" s="522"/>
      <c r="D981" s="522"/>
      <c r="E981" s="522"/>
      <c r="F981" s="522"/>
      <c r="G981" s="522"/>
    </row>
    <row r="982" spans="1:7">
      <c r="A982" s="522"/>
      <c r="B982" s="522"/>
      <c r="C982" s="522"/>
      <c r="D982" s="522"/>
      <c r="E982" s="522"/>
      <c r="F982" s="522"/>
      <c r="G982" s="522"/>
    </row>
    <row r="983" spans="1:7">
      <c r="A983" s="522"/>
      <c r="B983" s="522"/>
      <c r="C983" s="522"/>
      <c r="D983" s="522"/>
      <c r="E983" s="522"/>
      <c r="F983" s="522"/>
      <c r="G983" s="522"/>
    </row>
    <row r="984" spans="1:7">
      <c r="A984" s="522"/>
      <c r="B984" s="522"/>
      <c r="C984" s="522"/>
      <c r="D984" s="522"/>
      <c r="E984" s="522"/>
      <c r="F984" s="522"/>
      <c r="G984" s="522"/>
    </row>
    <row r="985" spans="1:7">
      <c r="A985" s="522"/>
      <c r="B985" s="522"/>
      <c r="C985" s="522"/>
      <c r="D985" s="522"/>
      <c r="E985" s="522"/>
      <c r="F985" s="522"/>
      <c r="G985" s="522"/>
    </row>
    <row r="986" spans="1:7">
      <c r="A986" s="522"/>
      <c r="B986" s="522"/>
      <c r="C986" s="522"/>
      <c r="D986" s="522"/>
      <c r="E986" s="522"/>
      <c r="F986" s="522"/>
      <c r="G986" s="522"/>
    </row>
    <row r="987" spans="1:7">
      <c r="A987" s="522"/>
      <c r="B987" s="522"/>
      <c r="C987" s="522"/>
      <c r="D987" s="522"/>
      <c r="E987" s="522"/>
      <c r="F987" s="522"/>
      <c r="G987" s="522"/>
    </row>
    <row r="988" spans="1:7">
      <c r="A988" s="522"/>
      <c r="B988" s="522"/>
      <c r="C988" s="522"/>
      <c r="D988" s="522"/>
      <c r="E988" s="522"/>
      <c r="F988" s="522"/>
      <c r="G988" s="522"/>
    </row>
    <row r="989" spans="1:7">
      <c r="A989" s="522"/>
      <c r="B989" s="522"/>
      <c r="C989" s="522"/>
      <c r="D989" s="522"/>
      <c r="E989" s="522"/>
      <c r="F989" s="522"/>
      <c r="G989" s="522"/>
    </row>
    <row r="990" spans="1:7">
      <c r="A990" s="522"/>
      <c r="B990" s="522"/>
      <c r="C990" s="522"/>
      <c r="D990" s="522"/>
      <c r="E990" s="522"/>
      <c r="F990" s="522"/>
      <c r="G990" s="522"/>
    </row>
    <row r="991" spans="1:7">
      <c r="A991" s="522"/>
      <c r="B991" s="522"/>
      <c r="C991" s="522"/>
      <c r="D991" s="522"/>
      <c r="E991" s="522"/>
      <c r="F991" s="522"/>
      <c r="G991" s="522"/>
    </row>
    <row r="992" spans="1:7">
      <c r="A992" s="522"/>
      <c r="B992" s="522"/>
      <c r="C992" s="522"/>
      <c r="D992" s="522"/>
      <c r="E992" s="522"/>
      <c r="F992" s="522"/>
      <c r="G992" s="522"/>
    </row>
    <row r="993" spans="1:7">
      <c r="A993" s="522"/>
      <c r="B993" s="522"/>
      <c r="C993" s="522"/>
      <c r="D993" s="522"/>
      <c r="E993" s="522"/>
      <c r="F993" s="522"/>
      <c r="G993" s="522"/>
    </row>
    <row r="994" spans="1:7">
      <c r="A994" s="522"/>
      <c r="B994" s="522"/>
      <c r="C994" s="522"/>
      <c r="D994" s="522"/>
      <c r="E994" s="522"/>
      <c r="F994" s="522"/>
      <c r="G994" s="522"/>
    </row>
  </sheetData>
  <sheetProtection algorithmName="SHA-512" hashValue="jcFk/UsHeMDPev3SdGLAHZRtHMFM0rIuEQKPf86cEKoCMtys7ZPCfbLZugmD1qJSt1B6XdUhdz7fXrLYMazezA==" saltValue="ec1Wg/qyvqOdoAa+G3tpnw==" spinCount="100000" sheet="1" objects="1" scenarios="1"/>
  <mergeCells count="18">
    <mergeCell ref="B68:D68"/>
    <mergeCell ref="F68:G68"/>
    <mergeCell ref="A71:G71"/>
    <mergeCell ref="A72:G72"/>
    <mergeCell ref="B52:D52"/>
    <mergeCell ref="F52:G52"/>
    <mergeCell ref="B53:D53"/>
    <mergeCell ref="F53:G53"/>
    <mergeCell ref="B67:D67"/>
    <mergeCell ref="F67:G67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77596-A614-4353-AA76-745BFBB6DC7C}">
  <dimension ref="A1:I970"/>
  <sheetViews>
    <sheetView topLeftCell="A28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8" width="8.85546875" style="314"/>
    <col min="9" max="9" width="12.140625" style="314" bestFit="1" customWidth="1"/>
    <col min="10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5" t="s">
        <v>601</v>
      </c>
      <c r="B5" s="315"/>
      <c r="C5" s="316"/>
      <c r="D5" s="596"/>
      <c r="E5" s="316"/>
      <c r="F5" s="315"/>
      <c r="G5" s="315"/>
    </row>
    <row r="6" spans="1:7" ht="18" customHeight="1" thickTop="1" thickBot="1">
      <c r="A6" s="1228" t="s">
        <v>16</v>
      </c>
      <c r="B6" s="1228" t="s">
        <v>583</v>
      </c>
      <c r="C6" s="1230" t="s">
        <v>602</v>
      </c>
      <c r="D6" s="1231" t="s">
        <v>603</v>
      </c>
      <c r="E6" s="1242"/>
      <c r="F6" s="1243"/>
      <c r="G6" s="1230" t="s">
        <v>604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5"/>
      <c r="C10" s="1007"/>
      <c r="D10" s="1007"/>
      <c r="E10" s="1007"/>
      <c r="F10" s="326"/>
      <c r="G10" s="327"/>
    </row>
    <row r="11" spans="1:7" ht="18">
      <c r="A11" s="328" t="s">
        <v>34</v>
      </c>
      <c r="B11" s="329"/>
      <c r="C11" s="1008"/>
      <c r="D11" s="1008"/>
      <c r="E11" s="1008"/>
      <c r="F11" s="330"/>
      <c r="G11" s="332"/>
    </row>
    <row r="12" spans="1:7" ht="18">
      <c r="A12" s="333" t="s">
        <v>35</v>
      </c>
      <c r="B12" s="334"/>
      <c r="C12" s="1008"/>
      <c r="D12" s="579"/>
      <c r="E12" s="1008"/>
      <c r="F12" s="335"/>
      <c r="G12" s="337"/>
    </row>
    <row r="13" spans="1:7" ht="18">
      <c r="A13" s="338" t="s">
        <v>512</v>
      </c>
      <c r="B13" s="339" t="s">
        <v>37</v>
      </c>
      <c r="C13" s="140">
        <v>40229022.409999996</v>
      </c>
      <c r="D13" s="36">
        <v>20122244.670000002</v>
      </c>
      <c r="E13" s="36">
        <f>F13-D13</f>
        <v>20232699.329999998</v>
      </c>
      <c r="F13" s="197">
        <v>40354944</v>
      </c>
      <c r="G13" s="197">
        <v>42934500</v>
      </c>
    </row>
    <row r="14" spans="1:7" ht="18">
      <c r="A14" s="333" t="s">
        <v>40</v>
      </c>
      <c r="B14" s="360"/>
      <c r="C14" s="140"/>
      <c r="D14" s="36"/>
      <c r="E14" s="85"/>
      <c r="F14" s="197"/>
      <c r="G14" s="197"/>
    </row>
    <row r="15" spans="1:7" ht="18">
      <c r="A15" s="338" t="s">
        <v>41</v>
      </c>
      <c r="B15" s="339" t="s">
        <v>42</v>
      </c>
      <c r="C15" s="140">
        <v>2003454.68</v>
      </c>
      <c r="D15" s="36">
        <v>1003909.11</v>
      </c>
      <c r="E15" s="36">
        <f t="shared" ref="E15:E18" si="0">F15-D15</f>
        <v>1012090.89</v>
      </c>
      <c r="F15" s="37">
        <v>2016000</v>
      </c>
      <c r="G15" s="37">
        <v>2016000</v>
      </c>
    </row>
    <row r="16" spans="1:7" ht="18">
      <c r="A16" s="338" t="s">
        <v>43</v>
      </c>
      <c r="B16" s="339" t="s">
        <v>44</v>
      </c>
      <c r="C16" s="140">
        <v>1423750</v>
      </c>
      <c r="D16" s="36">
        <v>714000</v>
      </c>
      <c r="E16" s="36">
        <f t="shared" si="0"/>
        <v>714000</v>
      </c>
      <c r="F16" s="37">
        <v>1428000</v>
      </c>
      <c r="G16" s="37">
        <v>1596000</v>
      </c>
    </row>
    <row r="17" spans="1:7" ht="18">
      <c r="A17" s="338" t="s">
        <v>45</v>
      </c>
      <c r="B17" s="339" t="s">
        <v>46</v>
      </c>
      <c r="C17" s="140">
        <v>1423750</v>
      </c>
      <c r="D17" s="36">
        <v>714000</v>
      </c>
      <c r="E17" s="36">
        <f t="shared" si="0"/>
        <v>714000</v>
      </c>
      <c r="F17" s="37">
        <v>1428000</v>
      </c>
      <c r="G17" s="37">
        <v>1596000</v>
      </c>
    </row>
    <row r="18" spans="1:7" ht="18">
      <c r="A18" s="338" t="s">
        <v>47</v>
      </c>
      <c r="B18" s="339" t="s">
        <v>48</v>
      </c>
      <c r="C18" s="140">
        <v>468000</v>
      </c>
      <c r="D18" s="38">
        <v>468000</v>
      </c>
      <c r="E18" s="36">
        <f t="shared" si="0"/>
        <v>36000</v>
      </c>
      <c r="F18" s="37">
        <v>504000</v>
      </c>
      <c r="G18" s="37">
        <v>588000</v>
      </c>
    </row>
    <row r="19" spans="1:7" ht="18">
      <c r="A19" s="338" t="s">
        <v>49</v>
      </c>
      <c r="B19" s="339" t="s">
        <v>50</v>
      </c>
      <c r="C19" s="38">
        <v>396500</v>
      </c>
      <c r="D19" s="38">
        <v>0</v>
      </c>
      <c r="E19" s="38">
        <v>420000</v>
      </c>
      <c r="F19" s="37">
        <v>420000</v>
      </c>
      <c r="G19" s="37">
        <v>420000</v>
      </c>
    </row>
    <row r="20" spans="1:7" ht="18">
      <c r="A20" s="338" t="s">
        <v>53</v>
      </c>
      <c r="B20" s="339" t="s">
        <v>54</v>
      </c>
      <c r="C20" s="140">
        <v>3152315.5</v>
      </c>
      <c r="D20" s="38">
        <v>0</v>
      </c>
      <c r="E20" s="36">
        <f t="shared" ref="E20:E22" si="1">F20-D20</f>
        <v>3362912</v>
      </c>
      <c r="F20" s="37">
        <v>3362912</v>
      </c>
      <c r="G20" s="37">
        <v>3667104</v>
      </c>
    </row>
    <row r="21" spans="1:7" ht="18">
      <c r="A21" s="338" t="s">
        <v>55</v>
      </c>
      <c r="B21" s="339" t="s">
        <v>56</v>
      </c>
      <c r="C21" s="140">
        <v>399500</v>
      </c>
      <c r="D21" s="38">
        <v>0</v>
      </c>
      <c r="E21" s="36">
        <f t="shared" si="1"/>
        <v>420000</v>
      </c>
      <c r="F21" s="37">
        <v>420000</v>
      </c>
      <c r="G21" s="37">
        <v>420000</v>
      </c>
    </row>
    <row r="22" spans="1:7" ht="18">
      <c r="A22" s="338" t="s">
        <v>57</v>
      </c>
      <c r="B22" s="339" t="s">
        <v>58</v>
      </c>
      <c r="C22" s="140">
        <v>3348234</v>
      </c>
      <c r="D22" s="36">
        <v>3335912</v>
      </c>
      <c r="E22" s="36">
        <f t="shared" si="1"/>
        <v>27000</v>
      </c>
      <c r="F22" s="37">
        <v>3362912</v>
      </c>
      <c r="G22" s="37">
        <v>3514140</v>
      </c>
    </row>
    <row r="23" spans="1:7" ht="18">
      <c r="A23" s="338" t="s">
        <v>557</v>
      </c>
      <c r="B23" s="339" t="s">
        <v>58</v>
      </c>
      <c r="C23" s="38">
        <v>0</v>
      </c>
      <c r="D23" s="38">
        <v>0</v>
      </c>
      <c r="E23" s="38">
        <v>0</v>
      </c>
      <c r="F23" s="38">
        <v>0</v>
      </c>
      <c r="G23" s="37">
        <v>588000</v>
      </c>
    </row>
    <row r="24" spans="1:7" ht="18">
      <c r="A24" s="333" t="s">
        <v>59</v>
      </c>
      <c r="B24" s="360"/>
      <c r="C24" s="140"/>
      <c r="D24" s="36"/>
      <c r="E24" s="85"/>
      <c r="F24" s="197"/>
      <c r="G24" s="197"/>
    </row>
    <row r="25" spans="1:7" ht="18">
      <c r="A25" s="338" t="s">
        <v>60</v>
      </c>
      <c r="B25" s="339" t="s">
        <v>61</v>
      </c>
      <c r="C25" s="140">
        <v>4608100.1500000004</v>
      </c>
      <c r="D25" s="36">
        <v>2225684.5299999998</v>
      </c>
      <c r="E25" s="36">
        <f t="shared" ref="E25:E28" si="2">F25-D25</f>
        <v>2616908.7500000005</v>
      </c>
      <c r="F25" s="37">
        <v>4842593.28</v>
      </c>
      <c r="G25" s="37">
        <v>5152140</v>
      </c>
    </row>
    <row r="26" spans="1:7" ht="18">
      <c r="A26" s="338" t="s">
        <v>62</v>
      </c>
      <c r="B26" s="339" t="s">
        <v>63</v>
      </c>
      <c r="C26" s="140">
        <v>99300</v>
      </c>
      <c r="D26" s="36">
        <v>89800</v>
      </c>
      <c r="E26" s="36">
        <f t="shared" si="2"/>
        <v>11000</v>
      </c>
      <c r="F26" s="197">
        <v>100800</v>
      </c>
      <c r="G26" s="197">
        <v>201600</v>
      </c>
    </row>
    <row r="27" spans="1:7" ht="18">
      <c r="A27" s="338" t="s">
        <v>64</v>
      </c>
      <c r="B27" s="339" t="s">
        <v>65</v>
      </c>
      <c r="C27" s="140">
        <v>634037.43999999994</v>
      </c>
      <c r="D27" s="36">
        <v>478862.5</v>
      </c>
      <c r="E27" s="36">
        <f t="shared" si="2"/>
        <v>273676.69999999995</v>
      </c>
      <c r="F27" s="37">
        <v>752539.2</v>
      </c>
      <c r="G27" s="37">
        <v>908314</v>
      </c>
    </row>
    <row r="28" spans="1:7" ht="18">
      <c r="A28" s="338" t="s">
        <v>66</v>
      </c>
      <c r="B28" s="339" t="s">
        <v>67</v>
      </c>
      <c r="C28" s="140">
        <v>99300</v>
      </c>
      <c r="D28" s="36">
        <v>49000</v>
      </c>
      <c r="E28" s="36">
        <f t="shared" si="2"/>
        <v>51800</v>
      </c>
      <c r="F28" s="37">
        <v>100800</v>
      </c>
      <c r="G28" s="37">
        <v>100800</v>
      </c>
    </row>
    <row r="29" spans="1:7" ht="18">
      <c r="A29" s="333" t="s">
        <v>589</v>
      </c>
      <c r="B29" s="402"/>
      <c r="C29" s="198"/>
      <c r="D29" s="41"/>
      <c r="E29" s="41"/>
      <c r="F29" s="199"/>
      <c r="G29" s="200"/>
    </row>
    <row r="30" spans="1:7" ht="18.75" thickBot="1">
      <c r="A30" s="338" t="s">
        <v>558</v>
      </c>
      <c r="B30" s="339" t="s">
        <v>520</v>
      </c>
      <c r="C30" s="38">
        <v>0</v>
      </c>
      <c r="D30" s="38">
        <v>0</v>
      </c>
      <c r="E30" s="38">
        <v>0</v>
      </c>
      <c r="F30" s="55">
        <v>0</v>
      </c>
      <c r="G30" s="201">
        <f>G13/12*10*0.0481927</f>
        <v>1724274.565125</v>
      </c>
    </row>
    <row r="31" spans="1:7" ht="19.5" thickTop="1" thickBot="1">
      <c r="A31" s="351" t="s">
        <v>71</v>
      </c>
      <c r="B31" s="352"/>
      <c r="C31" s="75">
        <f>SUM(C13:C28)</f>
        <v>58285264.179999992</v>
      </c>
      <c r="D31" s="75">
        <f>SUM(D13:D28)</f>
        <v>29201412.810000002</v>
      </c>
      <c r="E31" s="75">
        <f>SUM(E13:E28)</f>
        <v>29892087.669999998</v>
      </c>
      <c r="F31" s="168">
        <f>SUM(F13:F28)</f>
        <v>59093500.480000004</v>
      </c>
      <c r="G31" s="202">
        <f>SUM(G13:G30)</f>
        <v>65426872.565125003</v>
      </c>
    </row>
    <row r="32" spans="1:7" ht="18.75" thickTop="1">
      <c r="A32" s="355" t="s">
        <v>72</v>
      </c>
      <c r="B32" s="356"/>
      <c r="C32" s="905"/>
      <c r="D32" s="905"/>
      <c r="E32" s="905"/>
      <c r="F32" s="427"/>
      <c r="G32" s="1081"/>
    </row>
    <row r="33" spans="1:9" ht="18">
      <c r="A33" s="359" t="s">
        <v>377</v>
      </c>
      <c r="B33" s="435" t="s">
        <v>42</v>
      </c>
      <c r="C33" s="579">
        <v>2081206.15</v>
      </c>
      <c r="D33" s="579">
        <v>0</v>
      </c>
      <c r="E33" s="579">
        <v>0</v>
      </c>
      <c r="F33" s="1008">
        <v>0</v>
      </c>
      <c r="G33" s="1082">
        <v>0</v>
      </c>
    </row>
    <row r="34" spans="1:9" ht="18">
      <c r="A34" s="359" t="s">
        <v>75</v>
      </c>
      <c r="B34" s="435" t="s">
        <v>76</v>
      </c>
      <c r="C34" s="579">
        <v>2337070</v>
      </c>
      <c r="D34" s="579">
        <v>0</v>
      </c>
      <c r="E34" s="579">
        <v>0</v>
      </c>
      <c r="F34" s="1008">
        <v>0</v>
      </c>
      <c r="G34" s="1082">
        <v>0</v>
      </c>
    </row>
    <row r="35" spans="1:9" ht="18">
      <c r="A35" s="359" t="s">
        <v>77</v>
      </c>
      <c r="B35" s="360" t="s">
        <v>78</v>
      </c>
      <c r="C35" s="55">
        <v>262787.27</v>
      </c>
      <c r="D35" s="56">
        <v>79105.850000000006</v>
      </c>
      <c r="E35" s="36">
        <f t="shared" ref="E35:E38" si="3">F35-D35</f>
        <v>378698.57999999996</v>
      </c>
      <c r="F35" s="203">
        <v>457804.43</v>
      </c>
      <c r="G35" s="204">
        <v>200053.5</v>
      </c>
      <c r="I35" s="122"/>
    </row>
    <row r="36" spans="1:9" ht="18">
      <c r="A36" s="359" t="s">
        <v>81</v>
      </c>
      <c r="B36" s="360" t="s">
        <v>82</v>
      </c>
      <c r="C36" s="55">
        <v>346860.73</v>
      </c>
      <c r="D36" s="56">
        <v>99568.5</v>
      </c>
      <c r="E36" s="36">
        <f t="shared" si="3"/>
        <v>360848.02</v>
      </c>
      <c r="F36" s="203">
        <v>460416.52</v>
      </c>
      <c r="G36" s="204">
        <v>165658.43</v>
      </c>
    </row>
    <row r="37" spans="1:9" ht="18">
      <c r="A37" s="359" t="s">
        <v>83</v>
      </c>
      <c r="B37" s="360" t="s">
        <v>84</v>
      </c>
      <c r="C37" s="55">
        <v>837500</v>
      </c>
      <c r="D37" s="56">
        <v>420000</v>
      </c>
      <c r="E37" s="36">
        <f t="shared" si="3"/>
        <v>420000</v>
      </c>
      <c r="F37" s="205">
        <v>840000</v>
      </c>
      <c r="G37" s="206">
        <v>840000</v>
      </c>
    </row>
    <row r="38" spans="1:9" ht="36">
      <c r="A38" s="538" t="s">
        <v>104</v>
      </c>
      <c r="B38" s="360"/>
      <c r="C38" s="38">
        <v>0</v>
      </c>
      <c r="D38" s="38">
        <v>0</v>
      </c>
      <c r="E38" s="36">
        <f t="shared" si="3"/>
        <v>140000</v>
      </c>
      <c r="F38" s="203">
        <f>100000+40000</f>
        <v>140000</v>
      </c>
      <c r="G38" s="207">
        <v>500000</v>
      </c>
      <c r="I38" s="122"/>
    </row>
    <row r="39" spans="1:9" ht="18">
      <c r="A39" s="538" t="s">
        <v>108</v>
      </c>
      <c r="B39" s="360" t="s">
        <v>109</v>
      </c>
      <c r="C39" s="36"/>
      <c r="D39" s="36"/>
      <c r="E39" s="36"/>
      <c r="F39" s="205"/>
      <c r="G39" s="206"/>
    </row>
    <row r="40" spans="1:9" ht="18">
      <c r="A40" s="1083" t="s">
        <v>736</v>
      </c>
      <c r="B40" s="360"/>
      <c r="C40" s="36"/>
      <c r="D40" s="36"/>
      <c r="E40" s="36"/>
      <c r="F40" s="205"/>
      <c r="G40" s="243">
        <v>1400000</v>
      </c>
    </row>
    <row r="41" spans="1:9" ht="36.75" thickBot="1">
      <c r="A41" s="1083" t="s">
        <v>513</v>
      </c>
      <c r="B41" s="360"/>
      <c r="C41" s="36">
        <v>961611.44</v>
      </c>
      <c r="D41" s="579">
        <v>0</v>
      </c>
      <c r="E41" s="579">
        <v>0</v>
      </c>
      <c r="F41" s="203">
        <v>0</v>
      </c>
      <c r="G41" s="243">
        <v>0</v>
      </c>
    </row>
    <row r="42" spans="1:9" ht="19.5" thickTop="1" thickBot="1">
      <c r="A42" s="351" t="s">
        <v>162</v>
      </c>
      <c r="B42" s="367"/>
      <c r="C42" s="75">
        <f>SUM(C33:C41)</f>
        <v>6827035.5899999999</v>
      </c>
      <c r="D42" s="75">
        <f>SUM(D35:D41)</f>
        <v>598674.35</v>
      </c>
      <c r="E42" s="75">
        <f>SUM(E35:E41)</f>
        <v>1299546.6000000001</v>
      </c>
      <c r="F42" s="75">
        <f>SUM(F35:F41)</f>
        <v>1898220.95</v>
      </c>
      <c r="G42" s="75">
        <f>SUM(G35:G41)</f>
        <v>3105711.9299999997</v>
      </c>
      <c r="I42" s="558"/>
    </row>
    <row r="43" spans="1:9" ht="18.75" thickTop="1">
      <c r="A43" s="355" t="s">
        <v>163</v>
      </c>
      <c r="B43" s="436"/>
      <c r="C43" s="1007"/>
      <c r="D43" s="1007"/>
      <c r="E43" s="1007"/>
      <c r="F43" s="380"/>
      <c r="G43" s="327"/>
    </row>
    <row r="44" spans="1:9" ht="36">
      <c r="A44" s="538" t="s">
        <v>205</v>
      </c>
      <c r="B44" s="391" t="s">
        <v>206</v>
      </c>
      <c r="C44" s="36">
        <v>178100</v>
      </c>
      <c r="D44" s="579">
        <v>0</v>
      </c>
      <c r="E44" s="579">
        <v>0</v>
      </c>
      <c r="F44" s="210">
        <v>0</v>
      </c>
      <c r="G44" s="210">
        <v>0</v>
      </c>
    </row>
    <row r="45" spans="1:9" ht="18.75" thickBot="1">
      <c r="A45" s="538" t="s">
        <v>207</v>
      </c>
      <c r="B45" s="391" t="s">
        <v>208</v>
      </c>
      <c r="C45" s="36">
        <v>148680</v>
      </c>
      <c r="D45" s="579">
        <v>0</v>
      </c>
      <c r="E45" s="579">
        <v>0</v>
      </c>
      <c r="F45" s="210">
        <v>0</v>
      </c>
      <c r="G45" s="210">
        <v>0</v>
      </c>
    </row>
    <row r="46" spans="1:9" ht="19.5" thickTop="1" thickBot="1">
      <c r="A46" s="351" t="s">
        <v>171</v>
      </c>
      <c r="B46" s="367"/>
      <c r="C46" s="75">
        <f>SUM(C45:C45)</f>
        <v>148680</v>
      </c>
      <c r="D46" s="75">
        <f>SUM(D45:D45)</f>
        <v>0</v>
      </c>
      <c r="E46" s="75">
        <f>SUM(E45:E45)</f>
        <v>0</v>
      </c>
      <c r="F46" s="75">
        <f>SUM(F45:F45)</f>
        <v>0</v>
      </c>
      <c r="G46" s="75">
        <f>SUM(G45:G45)</f>
        <v>0</v>
      </c>
    </row>
    <row r="47" spans="1:9" ht="19.5" thickTop="1" thickBot="1">
      <c r="A47" s="351" t="s">
        <v>181</v>
      </c>
      <c r="B47" s="367"/>
      <c r="C47" s="75">
        <f>C46+C42+C31</f>
        <v>65260979.769999996</v>
      </c>
      <c r="D47" s="75">
        <f>D46+D42+D31</f>
        <v>29800087.160000004</v>
      </c>
      <c r="E47" s="75">
        <f>E46+E42+E31</f>
        <v>31191634.27</v>
      </c>
      <c r="F47" s="75">
        <f>F46+F42+F31</f>
        <v>60991721.430000007</v>
      </c>
      <c r="G47" s="75">
        <f>G46+G42+G31</f>
        <v>68532584.495124996</v>
      </c>
    </row>
    <row r="48" spans="1:9" ht="18.75" thickTop="1">
      <c r="A48" s="317"/>
      <c r="B48" s="317"/>
      <c r="C48" s="577"/>
      <c r="D48" s="577"/>
      <c r="E48" s="577"/>
      <c r="F48" s="317"/>
      <c r="G48" s="317"/>
    </row>
    <row r="49" spans="1:7" ht="18">
      <c r="A49" s="317"/>
      <c r="B49" s="317"/>
      <c r="C49" s="577"/>
      <c r="D49" s="577"/>
      <c r="E49" s="577"/>
      <c r="F49" s="577"/>
      <c r="G49" s="317"/>
    </row>
    <row r="50" spans="1:7" ht="18">
      <c r="A50" s="317"/>
      <c r="B50" s="317"/>
      <c r="C50" s="577"/>
      <c r="D50" s="577"/>
      <c r="E50" s="577"/>
      <c r="F50" s="577"/>
      <c r="G50" s="317"/>
    </row>
    <row r="51" spans="1:7" ht="18">
      <c r="A51" s="317"/>
      <c r="B51" s="317"/>
      <c r="C51" s="577"/>
      <c r="D51" s="577"/>
      <c r="E51" s="577"/>
      <c r="F51" s="577"/>
      <c r="G51" s="317"/>
    </row>
    <row r="52" spans="1:7" ht="18">
      <c r="A52" s="317"/>
      <c r="B52" s="317"/>
      <c r="C52" s="577"/>
      <c r="D52" s="577"/>
      <c r="E52" s="577"/>
      <c r="F52" s="577"/>
      <c r="G52" s="317"/>
    </row>
    <row r="53" spans="1:7" ht="18">
      <c r="A53" s="317"/>
      <c r="B53" s="317"/>
      <c r="C53" s="577"/>
      <c r="D53" s="577"/>
      <c r="E53" s="577"/>
      <c r="F53" s="317"/>
      <c r="G53" s="317"/>
    </row>
    <row r="54" spans="1:7" ht="18">
      <c r="A54" s="317"/>
      <c r="B54" s="317"/>
      <c r="C54" s="577"/>
      <c r="D54" s="577"/>
      <c r="E54" s="577"/>
      <c r="F54" s="317"/>
      <c r="G54" s="317"/>
    </row>
    <row r="55" spans="1:7" ht="18">
      <c r="A55" s="317"/>
      <c r="B55" s="317"/>
      <c r="C55" s="577"/>
      <c r="D55" s="577"/>
      <c r="E55" s="577"/>
      <c r="F55" s="317"/>
      <c r="G55" s="317"/>
    </row>
    <row r="56" spans="1:7" ht="18">
      <c r="A56" s="317"/>
      <c r="B56" s="317"/>
      <c r="C56" s="577"/>
      <c r="D56" s="577"/>
      <c r="E56" s="577"/>
      <c r="F56" s="317"/>
      <c r="G56" s="317"/>
    </row>
    <row r="57" spans="1:7" ht="18">
      <c r="A57" s="317"/>
      <c r="B57" s="317"/>
      <c r="C57" s="577"/>
      <c r="D57" s="577"/>
      <c r="E57" s="577"/>
      <c r="F57" s="317"/>
      <c r="G57" s="317"/>
    </row>
    <row r="58" spans="1:7" ht="18">
      <c r="A58" s="317"/>
      <c r="B58" s="317"/>
      <c r="C58" s="577"/>
      <c r="D58" s="577"/>
      <c r="E58" s="577"/>
      <c r="F58" s="317"/>
      <c r="G58" s="317"/>
    </row>
    <row r="59" spans="1:7" ht="18">
      <c r="A59" s="317"/>
      <c r="B59" s="317"/>
      <c r="C59" s="577"/>
      <c r="D59" s="577"/>
      <c r="E59" s="577"/>
      <c r="F59" s="577"/>
      <c r="G59" s="317"/>
    </row>
    <row r="60" spans="1:7" ht="18">
      <c r="A60" s="317"/>
      <c r="B60" s="317"/>
      <c r="C60" s="577"/>
      <c r="D60" s="577"/>
      <c r="E60" s="577"/>
      <c r="F60" s="577"/>
      <c r="G60" s="317"/>
    </row>
    <row r="61" spans="1:7" ht="18">
      <c r="A61" s="317"/>
      <c r="B61" s="317"/>
      <c r="C61" s="577"/>
      <c r="D61" s="577"/>
      <c r="E61" s="577"/>
      <c r="F61" s="577"/>
      <c r="G61" s="317"/>
    </row>
    <row r="62" spans="1:7" ht="18">
      <c r="A62" s="317"/>
      <c r="B62" s="317"/>
      <c r="C62" s="577"/>
      <c r="D62" s="577"/>
      <c r="E62" s="577"/>
      <c r="F62" s="577"/>
      <c r="G62" s="317"/>
    </row>
    <row r="63" spans="1:7" ht="18">
      <c r="A63" s="317"/>
      <c r="B63" s="317"/>
      <c r="C63" s="577"/>
      <c r="D63" s="577"/>
      <c r="E63" s="577"/>
      <c r="F63" s="577"/>
      <c r="G63" s="317"/>
    </row>
    <row r="64" spans="1:7" ht="18">
      <c r="A64" s="317"/>
      <c r="B64" s="317"/>
      <c r="C64" s="577"/>
      <c r="D64" s="577"/>
      <c r="E64" s="577"/>
      <c r="F64" s="317"/>
      <c r="G64" s="317"/>
    </row>
    <row r="65" spans="1:7" ht="18">
      <c r="A65" s="317"/>
      <c r="B65" s="317"/>
      <c r="C65" s="577"/>
      <c r="D65" s="577"/>
      <c r="E65" s="577"/>
      <c r="F65" s="317"/>
      <c r="G65" s="317"/>
    </row>
    <row r="66" spans="1:7" ht="18">
      <c r="A66" s="309"/>
      <c r="B66" s="1239"/>
      <c r="C66" s="1236"/>
      <c r="D66" s="1236"/>
      <c r="E66" s="369"/>
      <c r="F66" s="1240"/>
      <c r="G66" s="1241"/>
    </row>
    <row r="67" spans="1:7" ht="18">
      <c r="A67" s="371"/>
      <c r="B67" s="1235"/>
      <c r="C67" s="1236"/>
      <c r="D67" s="1236"/>
      <c r="E67" s="372"/>
      <c r="F67" s="1237"/>
      <c r="G67" s="1241"/>
    </row>
    <row r="68" spans="1:7" ht="18">
      <c r="A68" s="317"/>
      <c r="B68" s="317"/>
      <c r="C68" s="577"/>
      <c r="D68" s="577"/>
      <c r="E68" s="577"/>
      <c r="F68" s="317"/>
      <c r="G68" s="317"/>
    </row>
    <row r="69" spans="1:7" ht="18">
      <c r="A69" s="317"/>
      <c r="B69" s="317"/>
      <c r="C69" s="577"/>
      <c r="D69" s="577"/>
      <c r="E69" s="577"/>
      <c r="F69" s="317"/>
      <c r="G69" s="317"/>
    </row>
    <row r="70" spans="1:7" ht="16.5">
      <c r="A70" s="1238" t="s">
        <v>194</v>
      </c>
      <c r="B70" s="1238"/>
      <c r="C70" s="1238"/>
      <c r="D70" s="1238"/>
      <c r="E70" s="1238"/>
      <c r="F70" s="1238"/>
      <c r="G70" s="1238"/>
    </row>
    <row r="71" spans="1:7" ht="18">
      <c r="A71" s="317"/>
      <c r="B71" s="317"/>
      <c r="C71" s="577"/>
      <c r="D71" s="577"/>
      <c r="E71" s="577"/>
      <c r="F71" s="317"/>
      <c r="G71" s="317"/>
    </row>
    <row r="72" spans="1:7" ht="18">
      <c r="A72" s="317"/>
      <c r="B72" s="317"/>
      <c r="C72" s="577"/>
      <c r="D72" s="577"/>
      <c r="E72" s="577"/>
      <c r="F72" s="317"/>
      <c r="G72" s="317"/>
    </row>
    <row r="73" spans="1:7" ht="18">
      <c r="A73" s="317"/>
      <c r="B73" s="317"/>
      <c r="C73" s="577"/>
      <c r="D73" s="577"/>
      <c r="E73" s="577"/>
      <c r="F73" s="317"/>
      <c r="G73" s="317"/>
    </row>
    <row r="74" spans="1:7" ht="18">
      <c r="A74" s="317"/>
      <c r="B74" s="317"/>
      <c r="C74" s="577"/>
      <c r="D74" s="577"/>
      <c r="E74" s="577"/>
      <c r="F74" s="317"/>
      <c r="G74" s="317"/>
    </row>
    <row r="75" spans="1:7" ht="18">
      <c r="A75" s="317"/>
      <c r="B75" s="317"/>
      <c r="C75" s="577"/>
      <c r="D75" s="577"/>
      <c r="E75" s="577"/>
      <c r="F75" s="317"/>
      <c r="G75" s="317"/>
    </row>
    <row r="76" spans="1:7" ht="18">
      <c r="A76" s="317"/>
      <c r="B76" s="317"/>
      <c r="C76" s="577"/>
      <c r="D76" s="577"/>
      <c r="E76" s="577"/>
      <c r="F76" s="317"/>
      <c r="G76" s="317"/>
    </row>
    <row r="77" spans="1:7" ht="18">
      <c r="A77" s="317"/>
      <c r="B77" s="317"/>
      <c r="C77" s="577"/>
      <c r="D77" s="577"/>
      <c r="E77" s="577"/>
      <c r="F77" s="317"/>
      <c r="G77" s="317"/>
    </row>
    <row r="78" spans="1:7" ht="18">
      <c r="A78" s="317"/>
      <c r="B78" s="317"/>
      <c r="C78" s="577"/>
      <c r="D78" s="577"/>
      <c r="E78" s="577"/>
      <c r="F78" s="317"/>
      <c r="G78" s="317"/>
    </row>
    <row r="79" spans="1:7" ht="18">
      <c r="A79" s="317"/>
      <c r="B79" s="317"/>
      <c r="C79" s="577"/>
      <c r="D79" s="577"/>
      <c r="E79" s="577"/>
      <c r="F79" s="317"/>
      <c r="G79" s="317"/>
    </row>
    <row r="80" spans="1:7" ht="18">
      <c r="A80" s="317"/>
      <c r="B80" s="317"/>
      <c r="C80" s="577"/>
      <c r="D80" s="577"/>
      <c r="E80" s="577"/>
      <c r="F80" s="317"/>
      <c r="G80" s="317"/>
    </row>
    <row r="81" spans="1:7" ht="18">
      <c r="A81" s="317"/>
      <c r="B81" s="317"/>
      <c r="C81" s="577"/>
      <c r="D81" s="577"/>
      <c r="E81" s="577"/>
      <c r="F81" s="317"/>
      <c r="G81" s="317"/>
    </row>
    <row r="82" spans="1:7" ht="18">
      <c r="A82" s="317"/>
      <c r="B82" s="317"/>
      <c r="C82" s="577"/>
      <c r="D82" s="577"/>
      <c r="E82" s="577"/>
      <c r="F82" s="317"/>
      <c r="G82" s="317"/>
    </row>
    <row r="83" spans="1:7" ht="18">
      <c r="A83" s="317"/>
      <c r="B83" s="317"/>
      <c r="C83" s="577"/>
      <c r="D83" s="577"/>
      <c r="E83" s="577"/>
      <c r="F83" s="317"/>
      <c r="G83" s="317"/>
    </row>
    <row r="84" spans="1:7" ht="18">
      <c r="A84" s="317"/>
      <c r="B84" s="317"/>
      <c r="C84" s="577"/>
      <c r="D84" s="577"/>
      <c r="E84" s="577"/>
      <c r="F84" s="317"/>
      <c r="G84" s="317"/>
    </row>
    <row r="85" spans="1:7" ht="18">
      <c r="A85" s="317"/>
      <c r="B85" s="317"/>
      <c r="C85" s="577"/>
      <c r="D85" s="577"/>
      <c r="E85" s="577"/>
      <c r="F85" s="317"/>
      <c r="G85" s="317"/>
    </row>
    <row r="86" spans="1:7" ht="18">
      <c r="A86" s="317"/>
      <c r="B86" s="317"/>
      <c r="C86" s="577"/>
      <c r="D86" s="577"/>
      <c r="E86" s="577"/>
      <c r="F86" s="317"/>
      <c r="G86" s="317"/>
    </row>
    <row r="87" spans="1:7" ht="18">
      <c r="A87" s="317"/>
      <c r="B87" s="317"/>
      <c r="C87" s="577"/>
      <c r="D87" s="577"/>
      <c r="E87" s="577"/>
      <c r="F87" s="317"/>
      <c r="G87" s="317"/>
    </row>
    <row r="88" spans="1:7" ht="18">
      <c r="A88" s="317"/>
      <c r="B88" s="317"/>
      <c r="C88" s="577"/>
      <c r="D88" s="577"/>
      <c r="E88" s="577"/>
      <c r="F88" s="317"/>
      <c r="G88" s="317"/>
    </row>
    <row r="89" spans="1:7" ht="18">
      <c r="A89" s="317"/>
      <c r="B89" s="317"/>
      <c r="C89" s="577"/>
      <c r="D89" s="577"/>
      <c r="E89" s="577"/>
      <c r="F89" s="317"/>
      <c r="G89" s="317"/>
    </row>
    <row r="90" spans="1:7" ht="18">
      <c r="A90" s="317"/>
      <c r="B90" s="317"/>
      <c r="C90" s="577"/>
      <c r="D90" s="577"/>
      <c r="E90" s="577"/>
      <c r="F90" s="317"/>
      <c r="G90" s="317"/>
    </row>
    <row r="91" spans="1:7" ht="18">
      <c r="A91" s="317"/>
      <c r="B91" s="317"/>
      <c r="C91" s="577"/>
      <c r="D91" s="577"/>
      <c r="E91" s="577"/>
      <c r="F91" s="317"/>
      <c r="G91" s="317"/>
    </row>
    <row r="92" spans="1:7" ht="18">
      <c r="A92" s="317"/>
      <c r="B92" s="317"/>
      <c r="C92" s="577"/>
      <c r="D92" s="577"/>
      <c r="E92" s="577"/>
      <c r="F92" s="317"/>
      <c r="G92" s="317"/>
    </row>
    <row r="93" spans="1:7" ht="18">
      <c r="A93" s="317"/>
      <c r="B93" s="317"/>
      <c r="C93" s="577"/>
      <c r="D93" s="577"/>
      <c r="E93" s="577"/>
      <c r="F93" s="317"/>
      <c r="G93" s="317"/>
    </row>
    <row r="94" spans="1:7" ht="18">
      <c r="A94" s="317"/>
      <c r="B94" s="317"/>
      <c r="C94" s="577"/>
      <c r="D94" s="577"/>
      <c r="E94" s="577"/>
      <c r="F94" s="317"/>
      <c r="G94" s="317"/>
    </row>
    <row r="95" spans="1:7" ht="18">
      <c r="A95" s="317"/>
      <c r="B95" s="317"/>
      <c r="C95" s="577"/>
      <c r="D95" s="577"/>
      <c r="E95" s="577"/>
      <c r="F95" s="317"/>
      <c r="G95" s="317"/>
    </row>
    <row r="96" spans="1:7" ht="18">
      <c r="A96" s="317"/>
      <c r="B96" s="317"/>
      <c r="C96" s="577"/>
      <c r="D96" s="577"/>
      <c r="E96" s="577"/>
      <c r="F96" s="317"/>
      <c r="G96" s="317"/>
    </row>
    <row r="97" spans="1:7" ht="18">
      <c r="A97" s="317"/>
      <c r="B97" s="317"/>
      <c r="C97" s="577"/>
      <c r="D97" s="577"/>
      <c r="E97" s="577"/>
      <c r="F97" s="317"/>
      <c r="G97" s="317"/>
    </row>
    <row r="98" spans="1:7" ht="18">
      <c r="A98" s="317"/>
      <c r="B98" s="317"/>
      <c r="C98" s="577"/>
      <c r="D98" s="577"/>
      <c r="E98" s="577"/>
      <c r="F98" s="317"/>
      <c r="G98" s="317"/>
    </row>
    <row r="99" spans="1:7" ht="18">
      <c r="A99" s="317"/>
      <c r="B99" s="317"/>
      <c r="C99" s="577"/>
      <c r="D99" s="577"/>
      <c r="E99" s="577"/>
      <c r="F99" s="317"/>
      <c r="G99" s="317"/>
    </row>
    <row r="100" spans="1:7" ht="18">
      <c r="A100" s="317"/>
      <c r="B100" s="317"/>
      <c r="C100" s="577"/>
      <c r="D100" s="577"/>
      <c r="E100" s="577"/>
      <c r="F100" s="317"/>
      <c r="G100" s="317"/>
    </row>
    <row r="101" spans="1:7" ht="18">
      <c r="A101" s="317"/>
      <c r="B101" s="317"/>
      <c r="C101" s="577"/>
      <c r="D101" s="577"/>
      <c r="E101" s="577"/>
      <c r="F101" s="317"/>
      <c r="G101" s="317"/>
    </row>
    <row r="102" spans="1:7" ht="18">
      <c r="A102" s="317"/>
      <c r="B102" s="317"/>
      <c r="C102" s="577"/>
      <c r="D102" s="577"/>
      <c r="E102" s="577"/>
      <c r="F102" s="317"/>
      <c r="G102" s="317"/>
    </row>
    <row r="103" spans="1:7" ht="18">
      <c r="A103" s="317"/>
      <c r="B103" s="317"/>
      <c r="C103" s="577"/>
      <c r="D103" s="577"/>
      <c r="E103" s="577"/>
      <c r="F103" s="317"/>
      <c r="G103" s="317"/>
    </row>
    <row r="104" spans="1:7" ht="18">
      <c r="A104" s="317"/>
      <c r="B104" s="317"/>
      <c r="C104" s="577"/>
      <c r="D104" s="577"/>
      <c r="E104" s="577"/>
      <c r="F104" s="317"/>
      <c r="G104" s="317"/>
    </row>
    <row r="105" spans="1:7" ht="18">
      <c r="A105" s="317"/>
      <c r="B105" s="317"/>
      <c r="C105" s="577"/>
      <c r="D105" s="577"/>
      <c r="E105" s="577"/>
      <c r="F105" s="317"/>
      <c r="G105" s="317"/>
    </row>
    <row r="106" spans="1:7" ht="18">
      <c r="A106" s="317"/>
      <c r="B106" s="317"/>
      <c r="C106" s="577"/>
      <c r="D106" s="577"/>
      <c r="E106" s="577"/>
      <c r="F106" s="317"/>
      <c r="G106" s="317"/>
    </row>
    <row r="107" spans="1:7" ht="18">
      <c r="A107" s="317"/>
      <c r="B107" s="317"/>
      <c r="C107" s="577"/>
      <c r="D107" s="577"/>
      <c r="E107" s="577"/>
      <c r="F107" s="317"/>
      <c r="G107" s="317"/>
    </row>
    <row r="108" spans="1:7" ht="18">
      <c r="A108" s="317"/>
      <c r="B108" s="317"/>
      <c r="C108" s="577"/>
      <c r="D108" s="577"/>
      <c r="E108" s="577"/>
      <c r="F108" s="317"/>
      <c r="G108" s="317"/>
    </row>
    <row r="109" spans="1:7" ht="18">
      <c r="A109" s="317"/>
      <c r="B109" s="317"/>
      <c r="C109" s="577"/>
      <c r="D109" s="577"/>
      <c r="E109" s="577"/>
      <c r="F109" s="317"/>
      <c r="G109" s="317"/>
    </row>
    <row r="110" spans="1:7" ht="18">
      <c r="A110" s="317"/>
      <c r="B110" s="317"/>
      <c r="C110" s="577"/>
      <c r="D110" s="577"/>
      <c r="E110" s="577"/>
      <c r="F110" s="317"/>
      <c r="G110" s="317"/>
    </row>
    <row r="111" spans="1:7" ht="18">
      <c r="A111" s="317"/>
      <c r="B111" s="317"/>
      <c r="C111" s="577"/>
      <c r="D111" s="577"/>
      <c r="E111" s="577"/>
      <c r="F111" s="317"/>
      <c r="G111" s="317"/>
    </row>
    <row r="112" spans="1:7" ht="18">
      <c r="A112" s="317"/>
      <c r="B112" s="317"/>
      <c r="C112" s="577"/>
      <c r="D112" s="577"/>
      <c r="E112" s="577"/>
      <c r="F112" s="317"/>
      <c r="G112" s="317"/>
    </row>
    <row r="113" spans="1:7" ht="18">
      <c r="A113" s="317"/>
      <c r="B113" s="317"/>
      <c r="C113" s="577"/>
      <c r="D113" s="577"/>
      <c r="E113" s="577"/>
      <c r="F113" s="317"/>
      <c r="G113" s="317"/>
    </row>
    <row r="114" spans="1:7" ht="18">
      <c r="A114" s="317"/>
      <c r="B114" s="317"/>
      <c r="C114" s="577"/>
      <c r="D114" s="577"/>
      <c r="E114" s="577"/>
      <c r="F114" s="317"/>
      <c r="G114" s="317"/>
    </row>
    <row r="115" spans="1:7" ht="18">
      <c r="A115" s="317"/>
      <c r="B115" s="317"/>
      <c r="C115" s="577"/>
      <c r="D115" s="577"/>
      <c r="E115" s="577"/>
      <c r="F115" s="317"/>
      <c r="G115" s="317"/>
    </row>
    <row r="116" spans="1:7" ht="18">
      <c r="A116" s="317"/>
      <c r="B116" s="317"/>
      <c r="C116" s="577"/>
      <c r="D116" s="577"/>
      <c r="E116" s="577"/>
      <c r="F116" s="317"/>
      <c r="G116" s="317"/>
    </row>
    <row r="117" spans="1:7" ht="18">
      <c r="A117" s="317"/>
      <c r="B117" s="317"/>
      <c r="C117" s="577"/>
      <c r="D117" s="577"/>
      <c r="E117" s="577"/>
      <c r="F117" s="317"/>
      <c r="G117" s="317"/>
    </row>
    <row r="118" spans="1:7" ht="18">
      <c r="A118" s="317"/>
      <c r="B118" s="317"/>
      <c r="C118" s="577"/>
      <c r="D118" s="577"/>
      <c r="E118" s="577"/>
      <c r="F118" s="317"/>
      <c r="G118" s="317"/>
    </row>
    <row r="119" spans="1:7" ht="18">
      <c r="A119" s="317"/>
      <c r="B119" s="317"/>
      <c r="C119" s="577"/>
      <c r="D119" s="577"/>
      <c r="E119" s="577"/>
      <c r="F119" s="317"/>
      <c r="G119" s="317"/>
    </row>
    <row r="120" spans="1:7" ht="18">
      <c r="A120" s="317"/>
      <c r="B120" s="317"/>
      <c r="C120" s="577"/>
      <c r="D120" s="577"/>
      <c r="E120" s="577"/>
      <c r="F120" s="317"/>
      <c r="G120" s="317"/>
    </row>
    <row r="121" spans="1:7" ht="18">
      <c r="A121" s="317"/>
      <c r="B121" s="317"/>
      <c r="C121" s="577"/>
      <c r="D121" s="577"/>
      <c r="E121" s="577"/>
      <c r="F121" s="317"/>
      <c r="G121" s="317"/>
    </row>
    <row r="122" spans="1:7" ht="18">
      <c r="A122" s="317"/>
      <c r="B122" s="317"/>
      <c r="C122" s="577"/>
      <c r="D122" s="577"/>
      <c r="E122" s="577"/>
      <c r="F122" s="317"/>
      <c r="G122" s="317"/>
    </row>
    <row r="123" spans="1:7" ht="18">
      <c r="A123" s="317"/>
      <c r="B123" s="317"/>
      <c r="C123" s="577"/>
      <c r="D123" s="577"/>
      <c r="E123" s="577"/>
      <c r="F123" s="317"/>
      <c r="G123" s="317"/>
    </row>
    <row r="124" spans="1:7" ht="18">
      <c r="A124" s="317"/>
      <c r="B124" s="317"/>
      <c r="C124" s="577"/>
      <c r="D124" s="577"/>
      <c r="E124" s="577"/>
      <c r="F124" s="317"/>
      <c r="G124" s="317"/>
    </row>
    <row r="125" spans="1:7" ht="18">
      <c r="A125" s="317"/>
      <c r="B125" s="317"/>
      <c r="C125" s="577"/>
      <c r="D125" s="577"/>
      <c r="E125" s="577"/>
      <c r="F125" s="317"/>
      <c r="G125" s="317"/>
    </row>
    <row r="126" spans="1:7" ht="18">
      <c r="A126" s="317"/>
      <c r="B126" s="317"/>
      <c r="C126" s="577"/>
      <c r="D126" s="577"/>
      <c r="E126" s="577"/>
      <c r="F126" s="317"/>
      <c r="G126" s="317"/>
    </row>
    <row r="127" spans="1:7" ht="18">
      <c r="A127" s="317"/>
      <c r="B127" s="317"/>
      <c r="C127" s="577"/>
      <c r="D127" s="577"/>
      <c r="E127" s="577"/>
      <c r="F127" s="317"/>
      <c r="G127" s="317"/>
    </row>
    <row r="128" spans="1:7" ht="18">
      <c r="A128" s="317"/>
      <c r="B128" s="317"/>
      <c r="C128" s="577"/>
      <c r="D128" s="577"/>
      <c r="E128" s="577"/>
      <c r="F128" s="317"/>
      <c r="G128" s="317"/>
    </row>
    <row r="129" spans="1:7" ht="18">
      <c r="A129" s="317"/>
      <c r="B129" s="317"/>
      <c r="C129" s="577"/>
      <c r="D129" s="577"/>
      <c r="E129" s="577"/>
      <c r="F129" s="317"/>
      <c r="G129" s="317"/>
    </row>
    <row r="130" spans="1:7" ht="18">
      <c r="A130" s="317"/>
      <c r="B130" s="317"/>
      <c r="C130" s="577"/>
      <c r="D130" s="577"/>
      <c r="E130" s="577"/>
      <c r="F130" s="317"/>
      <c r="G130" s="317"/>
    </row>
    <row r="131" spans="1:7" ht="18">
      <c r="A131" s="317"/>
      <c r="B131" s="317"/>
      <c r="C131" s="577"/>
      <c r="D131" s="577"/>
      <c r="E131" s="577"/>
      <c r="F131" s="317"/>
      <c r="G131" s="317"/>
    </row>
    <row r="132" spans="1:7" ht="18">
      <c r="A132" s="317"/>
      <c r="B132" s="317"/>
      <c r="C132" s="577"/>
      <c r="D132" s="577"/>
      <c r="E132" s="577"/>
      <c r="F132" s="317"/>
      <c r="G132" s="317"/>
    </row>
    <row r="133" spans="1:7" ht="18">
      <c r="A133" s="317"/>
      <c r="B133" s="317"/>
      <c r="C133" s="577"/>
      <c r="D133" s="577"/>
      <c r="E133" s="577"/>
      <c r="F133" s="317"/>
      <c r="G133" s="317"/>
    </row>
    <row r="134" spans="1:7" ht="18">
      <c r="A134" s="317"/>
      <c r="B134" s="317"/>
      <c r="C134" s="577"/>
      <c r="D134" s="577"/>
      <c r="E134" s="577"/>
      <c r="F134" s="317"/>
      <c r="G134" s="317"/>
    </row>
    <row r="135" spans="1:7" ht="18">
      <c r="A135" s="317"/>
      <c r="B135" s="317"/>
      <c r="C135" s="577"/>
      <c r="D135" s="577"/>
      <c r="E135" s="577"/>
      <c r="F135" s="317"/>
      <c r="G135" s="317"/>
    </row>
    <row r="136" spans="1:7" ht="18">
      <c r="A136" s="317"/>
      <c r="B136" s="317"/>
      <c r="C136" s="577"/>
      <c r="D136" s="577"/>
      <c r="E136" s="577"/>
      <c r="F136" s="317"/>
      <c r="G136" s="317"/>
    </row>
    <row r="137" spans="1:7" ht="18">
      <c r="A137" s="317"/>
      <c r="B137" s="317"/>
      <c r="C137" s="577"/>
      <c r="D137" s="577"/>
      <c r="E137" s="577"/>
      <c r="F137" s="317"/>
      <c r="G137" s="317"/>
    </row>
    <row r="138" spans="1:7" ht="18">
      <c r="A138" s="317"/>
      <c r="B138" s="317"/>
      <c r="C138" s="577"/>
      <c r="D138" s="577"/>
      <c r="E138" s="577"/>
      <c r="F138" s="317"/>
      <c r="G138" s="317"/>
    </row>
    <row r="139" spans="1:7" ht="18">
      <c r="A139" s="317"/>
      <c r="B139" s="317"/>
      <c r="C139" s="577"/>
      <c r="D139" s="577"/>
      <c r="E139" s="577"/>
      <c r="F139" s="317"/>
      <c r="G139" s="317"/>
    </row>
    <row r="140" spans="1:7" ht="18">
      <c r="A140" s="317"/>
      <c r="B140" s="317"/>
      <c r="C140" s="577"/>
      <c r="D140" s="577"/>
      <c r="E140" s="577"/>
      <c r="F140" s="317"/>
      <c r="G140" s="317"/>
    </row>
    <row r="141" spans="1:7" ht="18">
      <c r="A141" s="317"/>
      <c r="B141" s="317"/>
      <c r="C141" s="577"/>
      <c r="D141" s="577"/>
      <c r="E141" s="577"/>
      <c r="F141" s="317"/>
      <c r="G141" s="317"/>
    </row>
    <row r="142" spans="1:7" ht="18">
      <c r="A142" s="317"/>
      <c r="B142" s="317"/>
      <c r="C142" s="577"/>
      <c r="D142" s="577"/>
      <c r="E142" s="577"/>
      <c r="F142" s="317"/>
      <c r="G142" s="317"/>
    </row>
    <row r="143" spans="1:7" ht="18">
      <c r="A143" s="317"/>
      <c r="B143" s="317"/>
      <c r="C143" s="577"/>
      <c r="D143" s="577"/>
      <c r="E143" s="577"/>
      <c r="F143" s="317"/>
      <c r="G143" s="317"/>
    </row>
    <row r="144" spans="1:7" ht="18">
      <c r="A144" s="317"/>
      <c r="B144" s="317"/>
      <c r="C144" s="577"/>
      <c r="D144" s="577"/>
      <c r="E144" s="577"/>
      <c r="F144" s="317"/>
      <c r="G144" s="317"/>
    </row>
    <row r="145" spans="1:7" ht="18">
      <c r="A145" s="317"/>
      <c r="B145" s="317"/>
      <c r="C145" s="577"/>
      <c r="D145" s="577"/>
      <c r="E145" s="577"/>
      <c r="F145" s="317"/>
      <c r="G145" s="317"/>
    </row>
    <row r="146" spans="1:7" ht="18">
      <c r="A146" s="317"/>
      <c r="B146" s="317"/>
      <c r="C146" s="577"/>
      <c r="D146" s="577"/>
      <c r="E146" s="577"/>
      <c r="F146" s="317"/>
      <c r="G146" s="317"/>
    </row>
    <row r="147" spans="1:7" ht="18">
      <c r="A147" s="317"/>
      <c r="B147" s="317"/>
      <c r="C147" s="577"/>
      <c r="D147" s="577"/>
      <c r="E147" s="577"/>
      <c r="F147" s="317"/>
      <c r="G147" s="317"/>
    </row>
    <row r="148" spans="1:7" ht="18">
      <c r="A148" s="317"/>
      <c r="B148" s="317"/>
      <c r="C148" s="577"/>
      <c r="D148" s="577"/>
      <c r="E148" s="577"/>
      <c r="F148" s="317"/>
      <c r="G148" s="317"/>
    </row>
    <row r="149" spans="1:7" ht="18">
      <c r="A149" s="317"/>
      <c r="B149" s="317"/>
      <c r="C149" s="577"/>
      <c r="D149" s="577"/>
      <c r="E149" s="577"/>
      <c r="F149" s="317"/>
      <c r="G149" s="317"/>
    </row>
    <row r="150" spans="1:7" ht="18">
      <c r="A150" s="317"/>
      <c r="B150" s="317"/>
      <c r="C150" s="577"/>
      <c r="D150" s="577"/>
      <c r="E150" s="577"/>
      <c r="F150" s="317"/>
      <c r="G150" s="317"/>
    </row>
    <row r="151" spans="1:7" ht="18">
      <c r="A151" s="317"/>
      <c r="B151" s="317"/>
      <c r="C151" s="577"/>
      <c r="D151" s="577"/>
      <c r="E151" s="577"/>
      <c r="F151" s="317"/>
      <c r="G151" s="317"/>
    </row>
    <row r="152" spans="1:7" ht="18">
      <c r="A152" s="317"/>
      <c r="B152" s="317"/>
      <c r="C152" s="577"/>
      <c r="D152" s="577"/>
      <c r="E152" s="577"/>
      <c r="F152" s="317"/>
      <c r="G152" s="317"/>
    </row>
    <row r="153" spans="1:7" ht="18">
      <c r="A153" s="317"/>
      <c r="B153" s="317"/>
      <c r="C153" s="577"/>
      <c r="D153" s="577"/>
      <c r="E153" s="577"/>
      <c r="F153" s="317"/>
      <c r="G153" s="317"/>
    </row>
    <row r="154" spans="1:7" ht="18">
      <c r="A154" s="317"/>
      <c r="B154" s="317"/>
      <c r="C154" s="577"/>
      <c r="D154" s="577"/>
      <c r="E154" s="577"/>
      <c r="F154" s="317"/>
      <c r="G154" s="317"/>
    </row>
    <row r="155" spans="1:7" ht="18">
      <c r="A155" s="317"/>
      <c r="B155" s="317"/>
      <c r="C155" s="577"/>
      <c r="D155" s="577"/>
      <c r="E155" s="577"/>
      <c r="F155" s="317"/>
      <c r="G155" s="317"/>
    </row>
    <row r="156" spans="1:7" ht="18">
      <c r="A156" s="317"/>
      <c r="B156" s="317"/>
      <c r="C156" s="577"/>
      <c r="D156" s="577"/>
      <c r="E156" s="577"/>
      <c r="F156" s="317"/>
      <c r="G156" s="317"/>
    </row>
    <row r="157" spans="1:7" ht="18">
      <c r="A157" s="317"/>
      <c r="B157" s="317"/>
      <c r="C157" s="577"/>
      <c r="D157" s="577"/>
      <c r="E157" s="577"/>
      <c r="F157" s="317"/>
      <c r="G157" s="317"/>
    </row>
    <row r="158" spans="1:7" ht="18">
      <c r="A158" s="317"/>
      <c r="B158" s="317"/>
      <c r="C158" s="577"/>
      <c r="D158" s="577"/>
      <c r="E158" s="577"/>
      <c r="F158" s="317"/>
      <c r="G158" s="317"/>
    </row>
    <row r="159" spans="1:7" ht="18">
      <c r="A159" s="317"/>
      <c r="B159" s="317"/>
      <c r="C159" s="577"/>
      <c r="D159" s="577"/>
      <c r="E159" s="577"/>
      <c r="F159" s="317"/>
      <c r="G159" s="317"/>
    </row>
    <row r="160" spans="1:7" ht="18">
      <c r="A160" s="317"/>
      <c r="B160" s="317"/>
      <c r="C160" s="577"/>
      <c r="D160" s="577"/>
      <c r="E160" s="577"/>
      <c r="F160" s="317"/>
      <c r="G160" s="317"/>
    </row>
    <row r="161" spans="1:7" ht="18">
      <c r="A161" s="317"/>
      <c r="B161" s="317"/>
      <c r="C161" s="577"/>
      <c r="D161" s="577"/>
      <c r="E161" s="577"/>
      <c r="F161" s="317"/>
      <c r="G161" s="317"/>
    </row>
    <row r="162" spans="1:7" ht="18">
      <c r="A162" s="317"/>
      <c r="B162" s="317"/>
      <c r="C162" s="577"/>
      <c r="D162" s="577"/>
      <c r="E162" s="577"/>
      <c r="F162" s="317"/>
      <c r="G162" s="317"/>
    </row>
    <row r="163" spans="1:7" ht="18">
      <c r="A163" s="317"/>
      <c r="B163" s="317"/>
      <c r="C163" s="577"/>
      <c r="D163" s="577"/>
      <c r="E163" s="577"/>
      <c r="F163" s="317"/>
      <c r="G163" s="317"/>
    </row>
    <row r="164" spans="1:7" ht="18">
      <c r="A164" s="317"/>
      <c r="B164" s="317"/>
      <c r="C164" s="577"/>
      <c r="D164" s="577"/>
      <c r="E164" s="577"/>
      <c r="F164" s="317"/>
      <c r="G164" s="317"/>
    </row>
    <row r="165" spans="1:7" ht="18">
      <c r="A165" s="317"/>
      <c r="B165" s="317"/>
      <c r="C165" s="577"/>
      <c r="D165" s="577"/>
      <c r="E165" s="577"/>
      <c r="F165" s="317"/>
      <c r="G165" s="317"/>
    </row>
    <row r="166" spans="1:7" ht="18">
      <c r="A166" s="317"/>
      <c r="B166" s="317"/>
      <c r="C166" s="577"/>
      <c r="D166" s="577"/>
      <c r="E166" s="577"/>
      <c r="F166" s="317"/>
      <c r="G166" s="317"/>
    </row>
    <row r="167" spans="1:7" ht="18">
      <c r="A167" s="317"/>
      <c r="B167" s="317"/>
      <c r="C167" s="577"/>
      <c r="D167" s="577"/>
      <c r="E167" s="577"/>
      <c r="F167" s="317"/>
      <c r="G167" s="317"/>
    </row>
    <row r="168" spans="1:7" ht="18">
      <c r="A168" s="317"/>
      <c r="B168" s="317"/>
      <c r="C168" s="577"/>
      <c r="D168" s="577"/>
      <c r="E168" s="577"/>
      <c r="F168" s="317"/>
      <c r="G168" s="317"/>
    </row>
    <row r="169" spans="1:7" ht="18">
      <c r="A169" s="317"/>
      <c r="B169" s="317"/>
      <c r="C169" s="577"/>
      <c r="D169" s="577"/>
      <c r="E169" s="577"/>
      <c r="F169" s="317"/>
      <c r="G169" s="317"/>
    </row>
    <row r="170" spans="1:7" ht="18">
      <c r="A170" s="317"/>
      <c r="B170" s="317"/>
      <c r="C170" s="577"/>
      <c r="D170" s="577"/>
      <c r="E170" s="577"/>
      <c r="F170" s="317"/>
      <c r="G170" s="317"/>
    </row>
    <row r="171" spans="1:7" ht="18">
      <c r="A171" s="317"/>
      <c r="B171" s="317"/>
      <c r="C171" s="577"/>
      <c r="D171" s="577"/>
      <c r="E171" s="577"/>
      <c r="F171" s="317"/>
      <c r="G171" s="317"/>
    </row>
    <row r="172" spans="1:7" ht="18">
      <c r="A172" s="317"/>
      <c r="B172" s="317"/>
      <c r="C172" s="577"/>
      <c r="D172" s="577"/>
      <c r="E172" s="577"/>
      <c r="F172" s="317"/>
      <c r="G172" s="317"/>
    </row>
    <row r="173" spans="1:7" ht="18">
      <c r="A173" s="317"/>
      <c r="B173" s="317"/>
      <c r="C173" s="577"/>
      <c r="D173" s="577"/>
      <c r="E173" s="577"/>
      <c r="F173" s="317"/>
      <c r="G173" s="317"/>
    </row>
    <row r="174" spans="1:7" ht="18">
      <c r="A174" s="317"/>
      <c r="B174" s="317"/>
      <c r="C174" s="577"/>
      <c r="D174" s="577"/>
      <c r="E174" s="577"/>
      <c r="F174" s="317"/>
      <c r="G174" s="317"/>
    </row>
    <row r="175" spans="1:7" ht="18">
      <c r="A175" s="317"/>
      <c r="B175" s="317"/>
      <c r="C175" s="577"/>
      <c r="D175" s="577"/>
      <c r="E175" s="577"/>
      <c r="F175" s="317"/>
      <c r="G175" s="317"/>
    </row>
    <row r="176" spans="1:7" ht="18">
      <c r="A176" s="317"/>
      <c r="B176" s="317"/>
      <c r="C176" s="577"/>
      <c r="D176" s="577"/>
      <c r="E176" s="577"/>
      <c r="F176" s="317"/>
      <c r="G176" s="317"/>
    </row>
    <row r="177" spans="1:7" ht="18">
      <c r="A177" s="317"/>
      <c r="B177" s="317"/>
      <c r="C177" s="577"/>
      <c r="D177" s="577"/>
      <c r="E177" s="577"/>
      <c r="F177" s="317"/>
      <c r="G177" s="317"/>
    </row>
    <row r="178" spans="1:7" ht="18">
      <c r="A178" s="317"/>
      <c r="B178" s="317"/>
      <c r="C178" s="577"/>
      <c r="D178" s="577"/>
      <c r="E178" s="577"/>
      <c r="F178" s="317"/>
      <c r="G178" s="317"/>
    </row>
    <row r="179" spans="1:7" ht="18">
      <c r="A179" s="317"/>
      <c r="B179" s="317"/>
      <c r="C179" s="577"/>
      <c r="D179" s="577"/>
      <c r="E179" s="577"/>
      <c r="F179" s="317"/>
      <c r="G179" s="317"/>
    </row>
    <row r="180" spans="1:7" ht="18">
      <c r="A180" s="317"/>
      <c r="B180" s="317"/>
      <c r="C180" s="577"/>
      <c r="D180" s="577"/>
      <c r="E180" s="577"/>
      <c r="F180" s="317"/>
      <c r="G180" s="317"/>
    </row>
    <row r="181" spans="1:7" ht="18">
      <c r="A181" s="317"/>
      <c r="B181" s="317"/>
      <c r="C181" s="577"/>
      <c r="D181" s="577"/>
      <c r="E181" s="577"/>
      <c r="F181" s="317"/>
      <c r="G181" s="317"/>
    </row>
    <row r="182" spans="1:7" ht="18">
      <c r="A182" s="317"/>
      <c r="B182" s="317"/>
      <c r="C182" s="577"/>
      <c r="D182" s="577"/>
      <c r="E182" s="577"/>
      <c r="F182" s="317"/>
      <c r="G182" s="317"/>
    </row>
    <row r="183" spans="1:7" ht="18">
      <c r="A183" s="317"/>
      <c r="B183" s="317"/>
      <c r="C183" s="577"/>
      <c r="D183" s="577"/>
      <c r="E183" s="577"/>
      <c r="F183" s="317"/>
      <c r="G183" s="317"/>
    </row>
    <row r="184" spans="1:7" ht="18">
      <c r="A184" s="317"/>
      <c r="B184" s="317"/>
      <c r="C184" s="577"/>
      <c r="D184" s="577"/>
      <c r="E184" s="577"/>
      <c r="F184" s="317"/>
      <c r="G184" s="317"/>
    </row>
    <row r="185" spans="1:7" ht="18">
      <c r="A185" s="317"/>
      <c r="B185" s="317"/>
      <c r="C185" s="577"/>
      <c r="D185" s="577"/>
      <c r="E185" s="577"/>
      <c r="F185" s="317"/>
      <c r="G185" s="317"/>
    </row>
    <row r="186" spans="1:7" ht="18">
      <c r="A186" s="317"/>
      <c r="B186" s="317"/>
      <c r="C186" s="577"/>
      <c r="D186" s="577"/>
      <c r="E186" s="577"/>
      <c r="F186" s="317"/>
      <c r="G186" s="317"/>
    </row>
    <row r="187" spans="1:7" ht="18">
      <c r="A187" s="317"/>
      <c r="B187" s="317"/>
      <c r="C187" s="577"/>
      <c r="D187" s="577"/>
      <c r="E187" s="577"/>
      <c r="F187" s="317"/>
      <c r="G187" s="317"/>
    </row>
    <row r="188" spans="1:7" ht="18">
      <c r="A188" s="317"/>
      <c r="B188" s="317"/>
      <c r="C188" s="577"/>
      <c r="D188" s="577"/>
      <c r="E188" s="577"/>
      <c r="F188" s="317"/>
      <c r="G188" s="317"/>
    </row>
    <row r="189" spans="1:7" ht="18">
      <c r="A189" s="317"/>
      <c r="B189" s="317"/>
      <c r="C189" s="577"/>
      <c r="D189" s="577"/>
      <c r="E189" s="577"/>
      <c r="F189" s="317"/>
      <c r="G189" s="317"/>
    </row>
    <row r="190" spans="1:7" ht="18">
      <c r="A190" s="317"/>
      <c r="B190" s="317"/>
      <c r="C190" s="577"/>
      <c r="D190" s="577"/>
      <c r="E190" s="577"/>
      <c r="F190" s="317"/>
      <c r="G190" s="317"/>
    </row>
    <row r="191" spans="1:7" ht="18">
      <c r="A191" s="317"/>
      <c r="B191" s="317"/>
      <c r="C191" s="577"/>
      <c r="D191" s="577"/>
      <c r="E191" s="577"/>
      <c r="F191" s="317"/>
      <c r="G191" s="317"/>
    </row>
    <row r="192" spans="1:7" ht="18">
      <c r="A192" s="317"/>
      <c r="B192" s="317"/>
      <c r="C192" s="577"/>
      <c r="D192" s="577"/>
      <c r="E192" s="577"/>
      <c r="F192" s="317"/>
      <c r="G192" s="317"/>
    </row>
    <row r="193" spans="1:7" ht="18">
      <c r="A193" s="317"/>
      <c r="B193" s="317"/>
      <c r="C193" s="577"/>
      <c r="D193" s="577"/>
      <c r="E193" s="577"/>
      <c r="F193" s="317"/>
      <c r="G193" s="317"/>
    </row>
    <row r="194" spans="1:7" ht="18">
      <c r="A194" s="317"/>
      <c r="B194" s="317"/>
      <c r="C194" s="577"/>
      <c r="D194" s="577"/>
      <c r="E194" s="577"/>
      <c r="F194" s="317"/>
      <c r="G194" s="317"/>
    </row>
    <row r="195" spans="1:7" ht="18">
      <c r="A195" s="317"/>
      <c r="B195" s="317"/>
      <c r="C195" s="577"/>
      <c r="D195" s="577"/>
      <c r="E195" s="577"/>
      <c r="F195" s="317"/>
      <c r="G195" s="317"/>
    </row>
    <row r="196" spans="1:7" ht="18">
      <c r="A196" s="317"/>
      <c r="B196" s="317"/>
      <c r="C196" s="577"/>
      <c r="D196" s="577"/>
      <c r="E196" s="577"/>
      <c r="F196" s="317"/>
      <c r="G196" s="317"/>
    </row>
    <row r="197" spans="1:7" ht="18">
      <c r="A197" s="317"/>
      <c r="B197" s="317"/>
      <c r="C197" s="577"/>
      <c r="D197" s="577"/>
      <c r="E197" s="577"/>
      <c r="F197" s="317"/>
      <c r="G197" s="317"/>
    </row>
    <row r="198" spans="1:7" ht="18">
      <c r="A198" s="317"/>
      <c r="B198" s="317"/>
      <c r="C198" s="577"/>
      <c r="D198" s="577"/>
      <c r="E198" s="577"/>
      <c r="F198" s="317"/>
      <c r="G198" s="317"/>
    </row>
    <row r="199" spans="1:7" ht="18">
      <c r="A199" s="317"/>
      <c r="B199" s="317"/>
      <c r="C199" s="577"/>
      <c r="D199" s="577"/>
      <c r="E199" s="577"/>
      <c r="F199" s="317"/>
      <c r="G199" s="317"/>
    </row>
    <row r="200" spans="1:7" ht="18">
      <c r="A200" s="317"/>
      <c r="B200" s="317"/>
      <c r="C200" s="577"/>
      <c r="D200" s="577"/>
      <c r="E200" s="577"/>
      <c r="F200" s="317"/>
      <c r="G200" s="317"/>
    </row>
    <row r="201" spans="1:7" ht="18">
      <c r="A201" s="317"/>
      <c r="B201" s="317"/>
      <c r="C201" s="577"/>
      <c r="D201" s="577"/>
      <c r="E201" s="577"/>
      <c r="F201" s="317"/>
      <c r="G201" s="317"/>
    </row>
    <row r="202" spans="1:7" ht="18">
      <c r="A202" s="317"/>
      <c r="B202" s="317"/>
      <c r="C202" s="577"/>
      <c r="D202" s="577"/>
      <c r="E202" s="577"/>
      <c r="F202" s="317"/>
      <c r="G202" s="317"/>
    </row>
    <row r="203" spans="1:7" ht="18">
      <c r="A203" s="317"/>
      <c r="B203" s="317"/>
      <c r="C203" s="577"/>
      <c r="D203" s="577"/>
      <c r="E203" s="577"/>
      <c r="F203" s="317"/>
      <c r="G203" s="317"/>
    </row>
    <row r="204" spans="1:7" ht="18">
      <c r="A204" s="317"/>
      <c r="B204" s="317"/>
      <c r="C204" s="577"/>
      <c r="D204" s="577"/>
      <c r="E204" s="577"/>
      <c r="F204" s="317"/>
      <c r="G204" s="317"/>
    </row>
    <row r="205" spans="1:7" ht="18">
      <c r="A205" s="317"/>
      <c r="B205" s="317"/>
      <c r="C205" s="577"/>
      <c r="D205" s="577"/>
      <c r="E205" s="577"/>
      <c r="F205" s="317"/>
      <c r="G205" s="317"/>
    </row>
    <row r="206" spans="1:7" ht="18">
      <c r="A206" s="317"/>
      <c r="B206" s="317"/>
      <c r="C206" s="577"/>
      <c r="D206" s="577"/>
      <c r="E206" s="577"/>
      <c r="F206" s="317"/>
      <c r="G206" s="317"/>
    </row>
    <row r="207" spans="1:7" ht="18">
      <c r="A207" s="317"/>
      <c r="B207" s="317"/>
      <c r="C207" s="577"/>
      <c r="D207" s="577"/>
      <c r="E207" s="577"/>
      <c r="F207" s="317"/>
      <c r="G207" s="317"/>
    </row>
    <row r="208" spans="1:7" ht="18">
      <c r="A208" s="317"/>
      <c r="B208" s="317"/>
      <c r="C208" s="577"/>
      <c r="D208" s="577"/>
      <c r="E208" s="577"/>
      <c r="F208" s="317"/>
      <c r="G208" s="317"/>
    </row>
    <row r="209" spans="1:7" ht="18">
      <c r="A209" s="317"/>
      <c r="B209" s="317"/>
      <c r="C209" s="577"/>
      <c r="D209" s="577"/>
      <c r="E209" s="577"/>
      <c r="F209" s="317"/>
      <c r="G209" s="317"/>
    </row>
    <row r="210" spans="1:7" ht="18">
      <c r="A210" s="317"/>
      <c r="B210" s="317"/>
      <c r="C210" s="577"/>
      <c r="D210" s="577"/>
      <c r="E210" s="577"/>
      <c r="F210" s="317"/>
      <c r="G210" s="317"/>
    </row>
    <row r="211" spans="1:7" ht="18">
      <c r="A211" s="317"/>
      <c r="B211" s="317"/>
      <c r="C211" s="577"/>
      <c r="D211" s="577"/>
      <c r="E211" s="577"/>
      <c r="F211" s="317"/>
      <c r="G211" s="317"/>
    </row>
    <row r="212" spans="1:7" ht="18">
      <c r="A212" s="317"/>
      <c r="B212" s="317"/>
      <c r="C212" s="577"/>
      <c r="D212" s="577"/>
      <c r="E212" s="577"/>
      <c r="F212" s="317"/>
      <c r="G212" s="317"/>
    </row>
    <row r="213" spans="1:7" ht="18">
      <c r="A213" s="317"/>
      <c r="B213" s="317"/>
      <c r="C213" s="577"/>
      <c r="D213" s="577"/>
      <c r="E213" s="577"/>
      <c r="F213" s="317"/>
      <c r="G213" s="317"/>
    </row>
    <row r="214" spans="1:7" ht="18">
      <c r="A214" s="317"/>
      <c r="B214" s="317"/>
      <c r="C214" s="577"/>
      <c r="D214" s="577"/>
      <c r="E214" s="577"/>
      <c r="F214" s="317"/>
      <c r="G214" s="317"/>
    </row>
    <row r="215" spans="1:7" ht="18">
      <c r="A215" s="317"/>
      <c r="B215" s="317"/>
      <c r="C215" s="577"/>
      <c r="D215" s="577"/>
      <c r="E215" s="577"/>
      <c r="F215" s="317"/>
      <c r="G215" s="317"/>
    </row>
    <row r="216" spans="1:7" ht="18">
      <c r="A216" s="317"/>
      <c r="B216" s="317"/>
      <c r="C216" s="577"/>
      <c r="D216" s="577"/>
      <c r="E216" s="577"/>
      <c r="F216" s="317"/>
      <c r="G216" s="317"/>
    </row>
    <row r="217" spans="1:7" ht="18">
      <c r="A217" s="317"/>
      <c r="B217" s="317"/>
      <c r="C217" s="577"/>
      <c r="D217" s="577"/>
      <c r="E217" s="577"/>
      <c r="F217" s="317"/>
      <c r="G217" s="317"/>
    </row>
    <row r="218" spans="1:7" ht="18">
      <c r="A218" s="317"/>
      <c r="B218" s="317"/>
      <c r="C218" s="577"/>
      <c r="D218" s="577"/>
      <c r="E218" s="577"/>
      <c r="F218" s="317"/>
      <c r="G218" s="317"/>
    </row>
    <row r="219" spans="1:7" ht="18">
      <c r="A219" s="317"/>
      <c r="B219" s="317"/>
      <c r="C219" s="577"/>
      <c r="D219" s="577"/>
      <c r="E219" s="577"/>
      <c r="F219" s="317"/>
      <c r="G219" s="317"/>
    </row>
    <row r="220" spans="1:7" ht="18">
      <c r="A220" s="317"/>
      <c r="B220" s="317"/>
      <c r="C220" s="577"/>
      <c r="D220" s="577"/>
      <c r="E220" s="577"/>
      <c r="F220" s="317"/>
      <c r="G220" s="317"/>
    </row>
    <row r="221" spans="1:7" ht="18">
      <c r="A221" s="317"/>
      <c r="B221" s="317"/>
      <c r="C221" s="577"/>
      <c r="D221" s="577"/>
      <c r="E221" s="577"/>
      <c r="F221" s="317"/>
      <c r="G221" s="317"/>
    </row>
    <row r="222" spans="1:7" ht="18">
      <c r="A222" s="317"/>
      <c r="B222" s="317"/>
      <c r="C222" s="577"/>
      <c r="D222" s="577"/>
      <c r="E222" s="577"/>
      <c r="F222" s="317"/>
      <c r="G222" s="317"/>
    </row>
    <row r="223" spans="1:7" ht="18">
      <c r="A223" s="317"/>
      <c r="B223" s="317"/>
      <c r="C223" s="577"/>
      <c r="D223" s="577"/>
      <c r="E223" s="577"/>
      <c r="F223" s="317"/>
      <c r="G223" s="317"/>
    </row>
    <row r="224" spans="1:7" ht="18">
      <c r="A224" s="317"/>
      <c r="B224" s="317"/>
      <c r="C224" s="577"/>
      <c r="D224" s="577"/>
      <c r="E224" s="577"/>
      <c r="F224" s="317"/>
      <c r="G224" s="317"/>
    </row>
    <row r="225" spans="1:7" ht="18">
      <c r="A225" s="317"/>
      <c r="B225" s="317"/>
      <c r="C225" s="577"/>
      <c r="D225" s="577"/>
      <c r="E225" s="577"/>
      <c r="F225" s="317"/>
      <c r="G225" s="317"/>
    </row>
    <row r="226" spans="1:7" ht="18">
      <c r="A226" s="317"/>
      <c r="B226" s="317"/>
      <c r="C226" s="577"/>
      <c r="D226" s="577"/>
      <c r="E226" s="577"/>
      <c r="F226" s="317"/>
      <c r="G226" s="317"/>
    </row>
    <row r="227" spans="1:7" ht="18">
      <c r="A227" s="317"/>
      <c r="B227" s="317"/>
      <c r="C227" s="577"/>
      <c r="D227" s="577"/>
      <c r="E227" s="577"/>
      <c r="F227" s="317"/>
      <c r="G227" s="317"/>
    </row>
    <row r="228" spans="1:7" ht="18">
      <c r="A228" s="317"/>
      <c r="B228" s="317"/>
      <c r="C228" s="577"/>
      <c r="D228" s="577"/>
      <c r="E228" s="577"/>
      <c r="F228" s="317"/>
      <c r="G228" s="317"/>
    </row>
    <row r="229" spans="1:7" ht="18">
      <c r="A229" s="317"/>
      <c r="B229" s="317"/>
      <c r="C229" s="577"/>
      <c r="D229" s="577"/>
      <c r="E229" s="577"/>
      <c r="F229" s="317"/>
      <c r="G229" s="317"/>
    </row>
    <row r="230" spans="1:7" ht="18">
      <c r="A230" s="317"/>
      <c r="B230" s="317"/>
      <c r="C230" s="577"/>
      <c r="D230" s="577"/>
      <c r="E230" s="577"/>
      <c r="F230" s="317"/>
      <c r="G230" s="317"/>
    </row>
    <row r="231" spans="1:7" ht="18">
      <c r="A231" s="317"/>
      <c r="B231" s="317"/>
      <c r="C231" s="577"/>
      <c r="D231" s="577"/>
      <c r="E231" s="577"/>
      <c r="F231" s="317"/>
      <c r="G231" s="317"/>
    </row>
    <row r="232" spans="1:7" ht="18">
      <c r="A232" s="317"/>
      <c r="B232" s="317"/>
      <c r="C232" s="577"/>
      <c r="D232" s="577"/>
      <c r="E232" s="577"/>
      <c r="F232" s="317"/>
      <c r="G232" s="317"/>
    </row>
    <row r="233" spans="1:7" ht="18">
      <c r="A233" s="317"/>
      <c r="B233" s="317"/>
      <c r="C233" s="577"/>
      <c r="D233" s="577"/>
      <c r="E233" s="577"/>
      <c r="F233" s="317"/>
      <c r="G233" s="317"/>
    </row>
    <row r="234" spans="1:7" ht="18">
      <c r="A234" s="317"/>
      <c r="B234" s="317"/>
      <c r="C234" s="577"/>
      <c r="D234" s="577"/>
      <c r="E234" s="577"/>
      <c r="F234" s="317"/>
      <c r="G234" s="317"/>
    </row>
    <row r="235" spans="1:7" ht="18">
      <c r="A235" s="317"/>
      <c r="B235" s="317"/>
      <c r="C235" s="577"/>
      <c r="D235" s="577"/>
      <c r="E235" s="577"/>
      <c r="F235" s="317"/>
      <c r="G235" s="317"/>
    </row>
    <row r="236" spans="1:7" ht="18">
      <c r="A236" s="317"/>
      <c r="B236" s="317"/>
      <c r="C236" s="577"/>
      <c r="D236" s="577"/>
      <c r="E236" s="577"/>
      <c r="F236" s="317"/>
      <c r="G236" s="317"/>
    </row>
    <row r="237" spans="1:7" ht="18">
      <c r="A237" s="317"/>
      <c r="B237" s="317"/>
      <c r="C237" s="577"/>
      <c r="D237" s="577"/>
      <c r="E237" s="577"/>
      <c r="F237" s="317"/>
      <c r="G237" s="317"/>
    </row>
    <row r="238" spans="1:7" ht="18">
      <c r="A238" s="317"/>
      <c r="B238" s="317"/>
      <c r="C238" s="577"/>
      <c r="D238" s="577"/>
      <c r="E238" s="577"/>
      <c r="F238" s="317"/>
      <c r="G238" s="317"/>
    </row>
    <row r="239" spans="1:7" ht="18">
      <c r="A239" s="317"/>
      <c r="B239" s="317"/>
      <c r="C239" s="577"/>
      <c r="D239" s="577"/>
      <c r="E239" s="577"/>
      <c r="F239" s="317"/>
      <c r="G239" s="317"/>
    </row>
    <row r="240" spans="1:7">
      <c r="A240" s="377"/>
      <c r="B240" s="377"/>
      <c r="C240" s="377"/>
      <c r="D240" s="377"/>
      <c r="E240" s="377"/>
      <c r="F240" s="377"/>
      <c r="G240" s="377"/>
    </row>
    <row r="241" spans="1:7">
      <c r="A241" s="377"/>
      <c r="B241" s="377"/>
      <c r="C241" s="377"/>
      <c r="D241" s="377"/>
      <c r="E241" s="377"/>
      <c r="F241" s="377"/>
      <c r="G241" s="377"/>
    </row>
    <row r="242" spans="1:7">
      <c r="A242" s="377"/>
      <c r="B242" s="377"/>
      <c r="C242" s="377"/>
      <c r="D242" s="377"/>
      <c r="E242" s="377"/>
      <c r="F242" s="377"/>
      <c r="G242" s="377"/>
    </row>
    <row r="243" spans="1:7">
      <c r="A243" s="377"/>
      <c r="B243" s="377"/>
      <c r="C243" s="377"/>
      <c r="D243" s="377"/>
      <c r="E243" s="377"/>
      <c r="F243" s="377"/>
      <c r="G243" s="377"/>
    </row>
    <row r="244" spans="1:7">
      <c r="A244" s="377"/>
      <c r="B244" s="377"/>
      <c r="C244" s="377"/>
      <c r="D244" s="377"/>
      <c r="E244" s="377"/>
      <c r="F244" s="377"/>
      <c r="G244" s="377"/>
    </row>
    <row r="245" spans="1:7">
      <c r="A245" s="377"/>
      <c r="B245" s="377"/>
      <c r="C245" s="377"/>
      <c r="D245" s="377"/>
      <c r="E245" s="377"/>
      <c r="F245" s="377"/>
      <c r="G245" s="377"/>
    </row>
    <row r="246" spans="1:7">
      <c r="A246" s="377"/>
      <c r="B246" s="377"/>
      <c r="C246" s="377"/>
      <c r="D246" s="377"/>
      <c r="E246" s="377"/>
      <c r="F246" s="377"/>
      <c r="G246" s="377"/>
    </row>
    <row r="247" spans="1:7">
      <c r="A247" s="377"/>
      <c r="B247" s="377"/>
      <c r="C247" s="377"/>
      <c r="D247" s="377"/>
      <c r="E247" s="377"/>
      <c r="F247" s="377"/>
      <c r="G247" s="377"/>
    </row>
    <row r="248" spans="1:7">
      <c r="A248" s="377"/>
      <c r="B248" s="377"/>
      <c r="C248" s="377"/>
      <c r="D248" s="377"/>
      <c r="E248" s="377"/>
      <c r="F248" s="377"/>
      <c r="G248" s="377"/>
    </row>
    <row r="249" spans="1:7">
      <c r="A249" s="377"/>
      <c r="B249" s="377"/>
      <c r="C249" s="377"/>
      <c r="D249" s="377"/>
      <c r="E249" s="377"/>
      <c r="F249" s="377"/>
      <c r="G249" s="377"/>
    </row>
    <row r="250" spans="1:7">
      <c r="A250" s="377"/>
      <c r="B250" s="377"/>
      <c r="C250" s="377"/>
      <c r="D250" s="377"/>
      <c r="E250" s="377"/>
      <c r="F250" s="377"/>
      <c r="G250" s="377"/>
    </row>
    <row r="251" spans="1:7">
      <c r="A251" s="377"/>
      <c r="B251" s="377"/>
      <c r="C251" s="377"/>
      <c r="D251" s="377"/>
      <c r="E251" s="377"/>
      <c r="F251" s="377"/>
      <c r="G251" s="377"/>
    </row>
    <row r="252" spans="1:7">
      <c r="A252" s="377"/>
      <c r="B252" s="377"/>
      <c r="C252" s="377"/>
      <c r="D252" s="377"/>
      <c r="E252" s="377"/>
      <c r="F252" s="377"/>
      <c r="G252" s="37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</sheetData>
  <sheetProtection algorithmName="SHA-512" hashValue="1POtbg420k2n//MVrK2FQJJQ+KMl//JcFNlZkQCeGnfRPHJUtC03+prWYBFKifD6wQef6TEYnp/bmkHY1DlHOg==" saltValue="QUi5Ho60DeTtQvIH1MXE1A==" spinCount="100000" sheet="1" objects="1" scenarios="1"/>
  <mergeCells count="13">
    <mergeCell ref="B66:D66"/>
    <mergeCell ref="F66:G66"/>
    <mergeCell ref="B67:D67"/>
    <mergeCell ref="F67:G67"/>
    <mergeCell ref="A70:G70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534FD-46DE-4C2A-9193-D8565FFF7E4E}">
  <dimension ref="A1:J996"/>
  <sheetViews>
    <sheetView topLeftCell="A31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6" width="16.5703125" style="314" customWidth="1"/>
    <col min="7" max="7" width="18" style="314" customWidth="1"/>
    <col min="8" max="8" width="8.85546875" style="314"/>
    <col min="9" max="10" width="12.7109375" style="314" bestFit="1" customWidth="1"/>
    <col min="11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5" t="s">
        <v>737</v>
      </c>
      <c r="B5" s="315"/>
      <c r="C5" s="315"/>
      <c r="D5" s="315"/>
      <c r="E5" s="315"/>
      <c r="F5" s="315"/>
      <c r="G5" s="315"/>
    </row>
    <row r="6" spans="1:7" ht="15.6" customHeight="1" thickTop="1" thickBot="1">
      <c r="A6" s="1228" t="s">
        <v>16</v>
      </c>
      <c r="B6" s="1228" t="s">
        <v>583</v>
      </c>
      <c r="C6" s="1230" t="s">
        <v>602</v>
      </c>
      <c r="D6" s="1231" t="s">
        <v>555</v>
      </c>
      <c r="E6" s="1242"/>
      <c r="F6" s="1243"/>
      <c r="G6" s="1230" t="s">
        <v>738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6"/>
      <c r="C10" s="326"/>
      <c r="D10" s="326"/>
      <c r="E10" s="326"/>
      <c r="F10" s="326"/>
      <c r="G10" s="380"/>
    </row>
    <row r="11" spans="1:7" ht="18">
      <c r="A11" s="328" t="s">
        <v>34</v>
      </c>
      <c r="B11" s="329"/>
      <c r="C11" s="540"/>
      <c r="D11" s="540"/>
      <c r="E11" s="540"/>
      <c r="F11" s="330"/>
      <c r="G11" s="332"/>
    </row>
    <row r="12" spans="1:7" ht="18">
      <c r="A12" s="333" t="s">
        <v>35</v>
      </c>
      <c r="B12" s="334"/>
      <c r="C12" s="334"/>
      <c r="D12" s="334"/>
      <c r="E12" s="334"/>
      <c r="F12" s="335"/>
      <c r="G12" s="337"/>
    </row>
    <row r="13" spans="1:7" ht="18">
      <c r="A13" s="338" t="s">
        <v>36</v>
      </c>
      <c r="B13" s="339" t="s">
        <v>37</v>
      </c>
      <c r="C13" s="36">
        <v>3594659.86</v>
      </c>
      <c r="D13" s="56">
        <v>1811175</v>
      </c>
      <c r="E13" s="36">
        <f t="shared" ref="E13:E14" si="0">F13-D13</f>
        <v>1969869</v>
      </c>
      <c r="F13" s="37">
        <v>3781044</v>
      </c>
      <c r="G13" s="37">
        <v>4023576</v>
      </c>
    </row>
    <row r="14" spans="1:7" ht="18">
      <c r="A14" s="338" t="s">
        <v>216</v>
      </c>
      <c r="B14" s="339" t="s">
        <v>39</v>
      </c>
      <c r="C14" s="36">
        <v>301954.5</v>
      </c>
      <c r="D14" s="56">
        <v>156000</v>
      </c>
      <c r="E14" s="36">
        <f t="shared" si="0"/>
        <v>156000</v>
      </c>
      <c r="F14" s="37">
        <v>312000</v>
      </c>
      <c r="G14" s="37">
        <v>330030</v>
      </c>
    </row>
    <row r="15" spans="1:7" ht="18">
      <c r="A15" s="333" t="s">
        <v>40</v>
      </c>
      <c r="B15" s="360"/>
      <c r="C15" s="36"/>
      <c r="D15" s="56"/>
      <c r="E15" s="56"/>
      <c r="F15" s="37"/>
      <c r="G15" s="37"/>
    </row>
    <row r="16" spans="1:7" ht="18">
      <c r="A16" s="338" t="s">
        <v>41</v>
      </c>
      <c r="B16" s="339" t="s">
        <v>42</v>
      </c>
      <c r="C16" s="36">
        <v>288545.46000000002</v>
      </c>
      <c r="D16" s="56">
        <v>145818.20000000001</v>
      </c>
      <c r="E16" s="36">
        <f t="shared" ref="E16:E31" si="1">F16-D16</f>
        <v>166181.79999999999</v>
      </c>
      <c r="F16" s="37">
        <v>312000</v>
      </c>
      <c r="G16" s="37">
        <v>312000</v>
      </c>
    </row>
    <row r="17" spans="1:10" ht="18">
      <c r="A17" s="338" t="s">
        <v>43</v>
      </c>
      <c r="B17" s="339" t="s">
        <v>44</v>
      </c>
      <c r="C17" s="36">
        <v>102000</v>
      </c>
      <c r="D17" s="56">
        <v>51000</v>
      </c>
      <c r="E17" s="36">
        <f t="shared" si="1"/>
        <v>51000</v>
      </c>
      <c r="F17" s="37">
        <v>102000</v>
      </c>
      <c r="G17" s="37">
        <v>114000</v>
      </c>
    </row>
    <row r="18" spans="1:10" ht="18">
      <c r="A18" s="338" t="s">
        <v>45</v>
      </c>
      <c r="B18" s="339" t="s">
        <v>46</v>
      </c>
      <c r="C18" s="36">
        <v>102000</v>
      </c>
      <c r="D18" s="56">
        <v>51000</v>
      </c>
      <c r="E18" s="36">
        <f t="shared" si="1"/>
        <v>51000</v>
      </c>
      <c r="F18" s="37">
        <v>102000</v>
      </c>
      <c r="G18" s="37">
        <v>114000</v>
      </c>
    </row>
    <row r="19" spans="1:10" ht="18">
      <c r="A19" s="338" t="s">
        <v>47</v>
      </c>
      <c r="B19" s="339" t="s">
        <v>48</v>
      </c>
      <c r="C19" s="36">
        <v>66000</v>
      </c>
      <c r="D19" s="55">
        <v>72000</v>
      </c>
      <c r="E19" s="36">
        <f t="shared" si="1"/>
        <v>6000</v>
      </c>
      <c r="F19" s="37">
        <v>78000</v>
      </c>
      <c r="G19" s="37">
        <v>91000</v>
      </c>
    </row>
    <row r="20" spans="1:10" ht="18">
      <c r="A20" s="338" t="s">
        <v>49</v>
      </c>
      <c r="B20" s="339" t="s">
        <v>50</v>
      </c>
      <c r="C20" s="38">
        <v>56500</v>
      </c>
      <c r="D20" s="38">
        <v>0</v>
      </c>
      <c r="E20" s="36">
        <f t="shared" si="1"/>
        <v>65000</v>
      </c>
      <c r="F20" s="37">
        <v>65000</v>
      </c>
      <c r="G20" s="37">
        <v>65000</v>
      </c>
    </row>
    <row r="21" spans="1:10" ht="18">
      <c r="A21" s="338" t="s">
        <v>53</v>
      </c>
      <c r="B21" s="339" t="s">
        <v>54</v>
      </c>
      <c r="C21" s="36">
        <v>307948</v>
      </c>
      <c r="D21" s="55">
        <v>0</v>
      </c>
      <c r="E21" s="36">
        <f t="shared" si="1"/>
        <v>341087</v>
      </c>
      <c r="F21" s="37">
        <v>341087</v>
      </c>
      <c r="G21" s="37">
        <v>371743</v>
      </c>
    </row>
    <row r="22" spans="1:10" ht="18">
      <c r="A22" s="338" t="s">
        <v>55</v>
      </c>
      <c r="B22" s="339" t="s">
        <v>56</v>
      </c>
      <c r="C22" s="36">
        <v>55000</v>
      </c>
      <c r="D22" s="55">
        <v>0</v>
      </c>
      <c r="E22" s="36">
        <f t="shared" si="1"/>
        <v>65000</v>
      </c>
      <c r="F22" s="37">
        <v>65000</v>
      </c>
      <c r="G22" s="37">
        <v>65000</v>
      </c>
    </row>
    <row r="23" spans="1:10" ht="18">
      <c r="A23" s="338" t="s">
        <v>57</v>
      </c>
      <c r="B23" s="339" t="s">
        <v>58</v>
      </c>
      <c r="C23" s="36">
        <v>310534</v>
      </c>
      <c r="D23" s="67">
        <v>325501</v>
      </c>
      <c r="E23" s="36">
        <f t="shared" si="1"/>
        <v>15586</v>
      </c>
      <c r="F23" s="37">
        <v>341087</v>
      </c>
      <c r="G23" s="37">
        <v>356413</v>
      </c>
    </row>
    <row r="24" spans="1:10" ht="18">
      <c r="A24" s="338" t="s">
        <v>557</v>
      </c>
      <c r="B24" s="339" t="s">
        <v>58</v>
      </c>
      <c r="C24" s="36">
        <v>0</v>
      </c>
      <c r="D24" s="67">
        <v>0</v>
      </c>
      <c r="E24" s="36">
        <f t="shared" si="1"/>
        <v>0</v>
      </c>
      <c r="F24" s="37">
        <v>0</v>
      </c>
      <c r="G24" s="37">
        <v>91000</v>
      </c>
    </row>
    <row r="25" spans="1:10" ht="18">
      <c r="A25" s="333" t="s">
        <v>59</v>
      </c>
      <c r="B25" s="360"/>
      <c r="C25" s="36"/>
      <c r="D25" s="56"/>
      <c r="E25" s="56"/>
      <c r="F25" s="37"/>
      <c r="G25" s="37"/>
    </row>
    <row r="26" spans="1:10" ht="18">
      <c r="A26" s="338" t="s">
        <v>60</v>
      </c>
      <c r="B26" s="339" t="s">
        <v>61</v>
      </c>
      <c r="C26" s="36">
        <v>467471.38</v>
      </c>
      <c r="D26" s="56">
        <v>236106.36</v>
      </c>
      <c r="E26" s="36">
        <f t="shared" si="1"/>
        <v>255058.92000000004</v>
      </c>
      <c r="F26" s="37">
        <v>491165.28</v>
      </c>
      <c r="G26" s="37">
        <v>522432.72</v>
      </c>
    </row>
    <row r="27" spans="1:10" ht="18">
      <c r="A27" s="338" t="s">
        <v>62</v>
      </c>
      <c r="B27" s="339" t="s">
        <v>63</v>
      </c>
      <c r="C27" s="36">
        <v>14600</v>
      </c>
      <c r="D27" s="56">
        <v>13400</v>
      </c>
      <c r="E27" s="36">
        <f t="shared" si="1"/>
        <v>2200</v>
      </c>
      <c r="F27" s="37">
        <v>15600</v>
      </c>
      <c r="G27" s="37">
        <v>31200</v>
      </c>
    </row>
    <row r="28" spans="1:10" ht="18">
      <c r="A28" s="338" t="s">
        <v>64</v>
      </c>
      <c r="B28" s="339" t="s">
        <v>65</v>
      </c>
      <c r="C28" s="36">
        <v>69423.600000000006</v>
      </c>
      <c r="D28" s="56">
        <v>50798.05</v>
      </c>
      <c r="E28" s="36">
        <f t="shared" si="1"/>
        <v>34264.910000000003</v>
      </c>
      <c r="F28" s="37">
        <v>85062.96</v>
      </c>
      <c r="G28" s="37">
        <v>101858.1</v>
      </c>
    </row>
    <row r="29" spans="1:10" ht="18">
      <c r="A29" s="338" t="s">
        <v>66</v>
      </c>
      <c r="B29" s="339" t="s">
        <v>67</v>
      </c>
      <c r="C29" s="36">
        <v>14600</v>
      </c>
      <c r="D29" s="56">
        <v>7300</v>
      </c>
      <c r="E29" s="36">
        <f t="shared" si="1"/>
        <v>8300</v>
      </c>
      <c r="F29" s="37">
        <v>15600</v>
      </c>
      <c r="G29" s="37">
        <v>15600</v>
      </c>
    </row>
    <row r="30" spans="1:10" ht="18">
      <c r="A30" s="333" t="s">
        <v>589</v>
      </c>
      <c r="B30" s="425"/>
      <c r="C30" s="36"/>
      <c r="D30" s="36"/>
      <c r="E30" s="36"/>
      <c r="F30" s="37"/>
      <c r="G30" s="37"/>
    </row>
    <row r="31" spans="1:10" ht="18.75" thickBot="1">
      <c r="A31" s="426" t="s">
        <v>558</v>
      </c>
      <c r="B31" s="347" t="s">
        <v>520</v>
      </c>
      <c r="C31" s="48">
        <v>0</v>
      </c>
      <c r="D31" s="48">
        <v>0</v>
      </c>
      <c r="E31" s="36">
        <f t="shared" si="1"/>
        <v>0</v>
      </c>
      <c r="F31" s="258">
        <v>0</v>
      </c>
      <c r="G31" s="258">
        <f>(G13+G14)/12*10*0.0481927</f>
        <v>174843.35656349998</v>
      </c>
      <c r="I31" s="558"/>
      <c r="J31" s="558"/>
    </row>
    <row r="32" spans="1:10" ht="19.5" thickTop="1" thickBot="1">
      <c r="A32" s="351" t="s">
        <v>71</v>
      </c>
      <c r="B32" s="352"/>
      <c r="C32" s="75">
        <f>SUM(C13:C29)</f>
        <v>5751236.7999999998</v>
      </c>
      <c r="D32" s="75">
        <f>SUM(D13:D29)</f>
        <v>2920098.61</v>
      </c>
      <c r="E32" s="75">
        <f>SUM(E13:E29)</f>
        <v>3186547.63</v>
      </c>
      <c r="F32" s="75">
        <f>SUM(F13:F29)</f>
        <v>6106646.2400000002</v>
      </c>
      <c r="G32" s="75">
        <f>SUM(G13:G31)</f>
        <v>6779696.1765634995</v>
      </c>
    </row>
    <row r="33" spans="1:7" ht="18.75" thickTop="1">
      <c r="A33" s="355" t="s">
        <v>72</v>
      </c>
      <c r="B33" s="356"/>
      <c r="C33" s="427"/>
      <c r="D33" s="427"/>
      <c r="E33" s="427"/>
      <c r="F33" s="428"/>
      <c r="G33" s="864"/>
    </row>
    <row r="34" spans="1:7" ht="18">
      <c r="A34" s="359" t="s">
        <v>514</v>
      </c>
      <c r="B34" s="360" t="s">
        <v>76</v>
      </c>
      <c r="C34" s="36">
        <v>974000</v>
      </c>
      <c r="D34" s="55">
        <v>0</v>
      </c>
      <c r="E34" s="36">
        <f t="shared" ref="E34:E39" si="2">F34-D34</f>
        <v>1000000</v>
      </c>
      <c r="F34" s="37">
        <v>1000000</v>
      </c>
      <c r="G34" s="37">
        <v>1000000</v>
      </c>
    </row>
    <row r="35" spans="1:7" ht="18">
      <c r="A35" s="359" t="s">
        <v>77</v>
      </c>
      <c r="B35" s="360" t="s">
        <v>78</v>
      </c>
      <c r="C35" s="38">
        <v>109374</v>
      </c>
      <c r="D35" s="36">
        <v>66432.600000000006</v>
      </c>
      <c r="E35" s="36">
        <f t="shared" si="2"/>
        <v>333567.40000000002</v>
      </c>
      <c r="F35" s="37">
        <v>400000</v>
      </c>
      <c r="G35" s="37">
        <v>400000</v>
      </c>
    </row>
    <row r="36" spans="1:7" ht="18">
      <c r="A36" s="359" t="s">
        <v>81</v>
      </c>
      <c r="B36" s="360" t="s">
        <v>82</v>
      </c>
      <c r="C36" s="38">
        <v>737260</v>
      </c>
      <c r="D36" s="36">
        <v>0</v>
      </c>
      <c r="E36" s="36">
        <f t="shared" si="2"/>
        <v>100000</v>
      </c>
      <c r="F36" s="37">
        <v>100000</v>
      </c>
      <c r="G36" s="37">
        <v>100000</v>
      </c>
    </row>
    <row r="37" spans="1:7" ht="18">
      <c r="A37" s="359" t="s">
        <v>83</v>
      </c>
      <c r="B37" s="360" t="s">
        <v>84</v>
      </c>
      <c r="C37" s="55">
        <v>60000</v>
      </c>
      <c r="D37" s="56">
        <v>30000</v>
      </c>
      <c r="E37" s="36">
        <f t="shared" si="2"/>
        <v>30000</v>
      </c>
      <c r="F37" s="37">
        <v>60000</v>
      </c>
      <c r="G37" s="37">
        <v>60000</v>
      </c>
    </row>
    <row r="38" spans="1:7" ht="36">
      <c r="A38" s="538" t="s">
        <v>515</v>
      </c>
      <c r="B38" s="1084" t="s">
        <v>241</v>
      </c>
      <c r="C38" s="55">
        <v>0</v>
      </c>
      <c r="D38" s="55">
        <v>0</v>
      </c>
      <c r="E38" s="36">
        <f t="shared" si="2"/>
        <v>140000</v>
      </c>
      <c r="F38" s="37">
        <v>140000</v>
      </c>
      <c r="G38" s="207">
        <v>0</v>
      </c>
    </row>
    <row r="39" spans="1:7" ht="18.75" thickBot="1">
      <c r="A39" s="359" t="s">
        <v>98</v>
      </c>
      <c r="B39" s="360" t="s">
        <v>99</v>
      </c>
      <c r="C39" s="36">
        <v>1310400</v>
      </c>
      <c r="D39" s="392">
        <v>504000</v>
      </c>
      <c r="E39" s="36">
        <f t="shared" si="2"/>
        <v>996000</v>
      </c>
      <c r="F39" s="92">
        <v>1500000</v>
      </c>
      <c r="G39" s="92">
        <v>1000000</v>
      </c>
    </row>
    <row r="40" spans="1:7" ht="19.5" thickTop="1" thickBot="1">
      <c r="A40" s="351" t="s">
        <v>162</v>
      </c>
      <c r="B40" s="367"/>
      <c r="C40" s="75">
        <f>SUM(C34:C39)</f>
        <v>3191034</v>
      </c>
      <c r="D40" s="75">
        <f>SUM(D34:D39)</f>
        <v>600432.6</v>
      </c>
      <c r="E40" s="75">
        <f>SUM(E34:E39)</f>
        <v>2599567.4</v>
      </c>
      <c r="F40" s="75">
        <f>SUM(F34:F39)</f>
        <v>3200000</v>
      </c>
      <c r="G40" s="75">
        <f>SUM(G34:G39)</f>
        <v>2560000</v>
      </c>
    </row>
    <row r="41" spans="1:7" ht="18.75" thickTop="1">
      <c r="A41" s="355" t="s">
        <v>163</v>
      </c>
      <c r="B41" s="436"/>
      <c r="C41" s="249"/>
      <c r="D41" s="249"/>
      <c r="E41" s="249"/>
      <c r="F41" s="47"/>
      <c r="G41" s="120"/>
    </row>
    <row r="42" spans="1:7" ht="18">
      <c r="A42" s="904" t="s">
        <v>167</v>
      </c>
      <c r="B42" s="389" t="s">
        <v>168</v>
      </c>
      <c r="C42" s="137">
        <v>0</v>
      </c>
      <c r="D42" s="137">
        <v>0</v>
      </c>
      <c r="E42" s="137">
        <v>0</v>
      </c>
      <c r="F42" s="137">
        <v>0</v>
      </c>
      <c r="G42" s="120">
        <v>400000</v>
      </c>
    </row>
    <row r="43" spans="1:7" ht="36.75" thickBot="1">
      <c r="A43" s="904" t="s">
        <v>205</v>
      </c>
      <c r="B43" s="389" t="s">
        <v>206</v>
      </c>
      <c r="C43" s="137">
        <v>0</v>
      </c>
      <c r="D43" s="143">
        <v>239970</v>
      </c>
      <c r="E43" s="38">
        <f>F43-D43</f>
        <v>10030</v>
      </c>
      <c r="F43" s="818">
        <v>250000</v>
      </c>
      <c r="G43" s="248">
        <v>0</v>
      </c>
    </row>
    <row r="44" spans="1:7" ht="19.5" thickTop="1" thickBot="1">
      <c r="A44" s="904" t="s">
        <v>207</v>
      </c>
      <c r="B44" s="389" t="s">
        <v>208</v>
      </c>
      <c r="C44" s="137">
        <v>0</v>
      </c>
      <c r="D44" s="143">
        <v>195750</v>
      </c>
      <c r="E44" s="38">
        <f>F44-D44</f>
        <v>4250</v>
      </c>
      <c r="F44" s="818">
        <v>200000</v>
      </c>
      <c r="G44" s="248">
        <v>0</v>
      </c>
    </row>
    <row r="45" spans="1:7" ht="19.5" thickTop="1" thickBot="1">
      <c r="A45" s="351" t="s">
        <v>171</v>
      </c>
      <c r="B45" s="367"/>
      <c r="C45" s="112">
        <f t="shared" ref="C45" si="3">SUM(C44)</f>
        <v>0</v>
      </c>
      <c r="D45" s="112">
        <f>SUM(D43:D44)</f>
        <v>435720</v>
      </c>
      <c r="E45" s="112">
        <f>SUM(E43:E44)</f>
        <v>14280</v>
      </c>
      <c r="F45" s="112">
        <f>SUM(F43:F44)</f>
        <v>450000</v>
      </c>
      <c r="G45" s="75">
        <f>SUM(G43:G44)</f>
        <v>0</v>
      </c>
    </row>
    <row r="46" spans="1:7" ht="19.5" thickTop="1" thickBot="1">
      <c r="A46" s="351" t="s">
        <v>181</v>
      </c>
      <c r="B46" s="367"/>
      <c r="C46" s="75">
        <f>C45+C40+C32</f>
        <v>8942270.8000000007</v>
      </c>
      <c r="D46" s="75">
        <f>D45+D40+D32</f>
        <v>3956251.21</v>
      </c>
      <c r="E46" s="75">
        <f>E45+E40+E32</f>
        <v>5800395.0299999993</v>
      </c>
      <c r="F46" s="75">
        <f>F45+F40+F32</f>
        <v>9756646.2400000002</v>
      </c>
      <c r="G46" s="75">
        <f>G45+G40+G32</f>
        <v>9339696.1765634995</v>
      </c>
    </row>
    <row r="47" spans="1:7" ht="18.75" thickTop="1">
      <c r="A47" s="317"/>
      <c r="B47" s="317"/>
      <c r="C47" s="577"/>
      <c r="D47" s="577"/>
      <c r="E47" s="577"/>
      <c r="F47" s="577"/>
      <c r="G47" s="577"/>
    </row>
    <row r="48" spans="1:7" ht="18">
      <c r="A48" s="317"/>
      <c r="B48" s="317"/>
      <c r="C48" s="317"/>
      <c r="D48" s="317"/>
      <c r="E48" s="317"/>
      <c r="F48" s="317"/>
      <c r="G48" s="317"/>
    </row>
    <row r="49" spans="1:7" ht="18">
      <c r="A49" s="317"/>
      <c r="B49" s="317"/>
      <c r="C49" s="317"/>
      <c r="D49" s="317"/>
      <c r="E49" s="317"/>
      <c r="F49" s="317"/>
      <c r="G49" s="317"/>
    </row>
    <row r="50" spans="1:7" ht="18">
      <c r="A50" s="317"/>
      <c r="B50" s="317"/>
      <c r="C50" s="317"/>
      <c r="D50" s="317"/>
      <c r="E50" s="317"/>
      <c r="F50" s="317"/>
      <c r="G50" s="317"/>
    </row>
    <row r="51" spans="1:7" ht="18">
      <c r="A51" s="371"/>
      <c r="B51" s="1235"/>
      <c r="C51" s="1236"/>
      <c r="D51" s="1236"/>
      <c r="E51" s="372"/>
      <c r="F51" s="1237"/>
      <c r="G51" s="1241"/>
    </row>
    <row r="52" spans="1:7" ht="18">
      <c r="A52" s="317"/>
      <c r="B52" s="317"/>
      <c r="C52" s="317"/>
      <c r="D52" s="317"/>
      <c r="E52" s="317"/>
      <c r="F52" s="317"/>
      <c r="G52" s="317"/>
    </row>
    <row r="53" spans="1:7" ht="18">
      <c r="A53" s="317"/>
      <c r="B53" s="317"/>
      <c r="C53" s="317"/>
      <c r="D53" s="317"/>
      <c r="E53" s="317"/>
      <c r="F53" s="317"/>
      <c r="G53" s="317"/>
    </row>
    <row r="54" spans="1:7" ht="18">
      <c r="A54" s="317"/>
      <c r="B54" s="317"/>
      <c r="C54" s="317"/>
      <c r="D54" s="317"/>
      <c r="E54" s="317"/>
      <c r="F54" s="317"/>
      <c r="G54" s="317"/>
    </row>
    <row r="55" spans="1:7" ht="18">
      <c r="A55" s="317"/>
      <c r="B55" s="317"/>
      <c r="C55" s="317"/>
      <c r="D55" s="317"/>
      <c r="E55" s="317"/>
      <c r="F55" s="317"/>
      <c r="G55" s="317"/>
    </row>
    <row r="56" spans="1:7" ht="18">
      <c r="A56" s="317"/>
      <c r="B56" s="317"/>
      <c r="C56" s="317"/>
      <c r="D56" s="317"/>
      <c r="E56" s="317"/>
      <c r="F56" s="318"/>
      <c r="G56" s="318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/>
      <c r="B58" s="317"/>
      <c r="C58" s="317"/>
      <c r="D58" s="317"/>
      <c r="E58" s="317"/>
      <c r="F58" s="317"/>
      <c r="G58" s="317"/>
    </row>
    <row r="59" spans="1:7" ht="18">
      <c r="A59" s="317"/>
      <c r="B59" s="317"/>
      <c r="C59" s="317"/>
      <c r="D59" s="317"/>
      <c r="E59" s="317"/>
      <c r="F59" s="317"/>
      <c r="G59" s="317"/>
    </row>
    <row r="60" spans="1:7" ht="18">
      <c r="A60" s="317"/>
      <c r="B60" s="317"/>
      <c r="C60" s="317"/>
      <c r="D60" s="317"/>
      <c r="E60" s="317"/>
      <c r="F60" s="317"/>
      <c r="G60" s="317"/>
    </row>
    <row r="61" spans="1:7" ht="18">
      <c r="A61" s="317"/>
      <c r="B61" s="317"/>
      <c r="C61" s="317"/>
      <c r="D61" s="317"/>
      <c r="E61" s="317"/>
      <c r="F61" s="317"/>
      <c r="G61" s="317"/>
    </row>
    <row r="62" spans="1:7" ht="18">
      <c r="A62" s="317"/>
      <c r="B62" s="317"/>
      <c r="C62" s="317"/>
      <c r="D62" s="317"/>
      <c r="E62" s="317"/>
      <c r="F62" s="317"/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8">
      <c r="A64" s="317"/>
      <c r="B64" s="317"/>
      <c r="C64" s="317"/>
      <c r="D64" s="317"/>
      <c r="E64" s="317"/>
      <c r="F64" s="317"/>
      <c r="G64" s="317"/>
    </row>
    <row r="65" spans="1:7" ht="18">
      <c r="A65" s="309"/>
      <c r="B65" s="1239"/>
      <c r="C65" s="1236"/>
      <c r="D65" s="1236"/>
      <c r="E65" s="369"/>
      <c r="F65" s="1240"/>
      <c r="G65" s="1241"/>
    </row>
    <row r="66" spans="1:7" ht="18">
      <c r="A66" s="371"/>
      <c r="B66" s="1235"/>
      <c r="C66" s="1236"/>
      <c r="D66" s="1236"/>
      <c r="E66" s="372"/>
      <c r="F66" s="1237"/>
      <c r="G66" s="1241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17"/>
      <c r="B68" s="317"/>
      <c r="C68" s="317"/>
      <c r="D68" s="317"/>
      <c r="E68" s="317"/>
      <c r="F68" s="317"/>
      <c r="G68" s="317"/>
    </row>
    <row r="69" spans="1:7" ht="16.5">
      <c r="A69" s="1238" t="s">
        <v>194</v>
      </c>
      <c r="B69" s="1238"/>
      <c r="C69" s="1238"/>
      <c r="D69" s="1238"/>
      <c r="E69" s="1238"/>
      <c r="F69" s="1238"/>
      <c r="G69" s="1238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17"/>
      <c r="B71" s="317"/>
      <c r="C71" s="317"/>
      <c r="D71" s="317"/>
      <c r="E71" s="317"/>
      <c r="F71" s="318"/>
      <c r="G71" s="318"/>
    </row>
    <row r="72" spans="1:7" ht="18">
      <c r="A72" s="317"/>
      <c r="B72" s="317"/>
      <c r="C72" s="317"/>
      <c r="D72" s="317"/>
      <c r="E72" s="317"/>
      <c r="F72" s="317"/>
      <c r="G72" s="317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>
      <c r="A245" s="377"/>
      <c r="B245" s="377"/>
      <c r="C245" s="377"/>
      <c r="D245" s="377"/>
      <c r="E245" s="377"/>
      <c r="F245" s="377"/>
      <c r="G245" s="377"/>
    </row>
    <row r="246" spans="1:7">
      <c r="A246" s="377"/>
      <c r="B246" s="377"/>
      <c r="C246" s="377"/>
      <c r="D246" s="377"/>
      <c r="E246" s="377"/>
      <c r="F246" s="377"/>
      <c r="G246" s="377"/>
    </row>
    <row r="247" spans="1:7">
      <c r="A247" s="377"/>
      <c r="B247" s="377"/>
      <c r="C247" s="377"/>
      <c r="D247" s="377"/>
      <c r="E247" s="377"/>
      <c r="F247" s="377"/>
      <c r="G247" s="377"/>
    </row>
    <row r="248" spans="1:7">
      <c r="A248" s="377"/>
      <c r="B248" s="377"/>
      <c r="C248" s="377"/>
      <c r="D248" s="377"/>
      <c r="E248" s="377"/>
      <c r="F248" s="377"/>
      <c r="G248" s="377"/>
    </row>
    <row r="249" spans="1:7">
      <c r="A249" s="377"/>
      <c r="B249" s="377"/>
      <c r="C249" s="377"/>
      <c r="D249" s="377"/>
      <c r="E249" s="377"/>
      <c r="F249" s="377"/>
      <c r="G249" s="377"/>
    </row>
    <row r="250" spans="1:7">
      <c r="A250" s="377"/>
      <c r="B250" s="377"/>
      <c r="C250" s="377"/>
      <c r="D250" s="377"/>
      <c r="E250" s="377"/>
      <c r="F250" s="377"/>
      <c r="G250" s="377"/>
    </row>
    <row r="251" spans="1:7">
      <c r="A251" s="377"/>
      <c r="B251" s="377"/>
      <c r="C251" s="377"/>
      <c r="D251" s="377"/>
      <c r="E251" s="377"/>
      <c r="F251" s="377"/>
      <c r="G251" s="377"/>
    </row>
    <row r="252" spans="1:7">
      <c r="A252" s="377"/>
      <c r="B252" s="377"/>
      <c r="C252" s="377"/>
      <c r="D252" s="377"/>
      <c r="E252" s="377"/>
      <c r="F252" s="377"/>
      <c r="G252" s="37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  <row r="994" spans="1:7">
      <c r="A994" s="377"/>
      <c r="B994" s="377"/>
      <c r="C994" s="377"/>
      <c r="D994" s="377"/>
      <c r="E994" s="377"/>
      <c r="F994" s="377"/>
      <c r="G994" s="377"/>
    </row>
    <row r="995" spans="1:7">
      <c r="A995" s="377"/>
      <c r="B995" s="377"/>
      <c r="C995" s="377"/>
      <c r="D995" s="377"/>
      <c r="E995" s="377"/>
      <c r="F995" s="377"/>
      <c r="G995" s="377"/>
    </row>
    <row r="996" spans="1:7">
      <c r="A996" s="377"/>
      <c r="B996" s="377"/>
      <c r="C996" s="377"/>
      <c r="D996" s="377"/>
      <c r="E996" s="377"/>
      <c r="F996" s="377"/>
      <c r="G996" s="377"/>
    </row>
  </sheetData>
  <sheetProtection algorithmName="SHA-512" hashValue="wyCNhOWvWoA3e02DT1OMoZk5BuaAmKHYm4kTngEYr4QjbyFPtGRMqhnvPJSzV2BZ8uOLh4Ps4yt/bURcr5Mgeg==" saltValue="kx0XuBXHwzqwv2Zs0q4hfA==" spinCount="100000" sheet="1" objects="1" scenarios="1"/>
  <mergeCells count="15">
    <mergeCell ref="A69:G69"/>
    <mergeCell ref="B51:D51"/>
    <mergeCell ref="F51:G51"/>
    <mergeCell ref="B65:D65"/>
    <mergeCell ref="F65:G65"/>
    <mergeCell ref="B66:D66"/>
    <mergeCell ref="F66:G66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D47DC-8148-4574-BC8D-263414FAE88B}">
  <dimension ref="A1:G1010"/>
  <sheetViews>
    <sheetView topLeftCell="A42" zoomScale="55" zoomScaleNormal="55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6" width="16.5703125" style="314" customWidth="1"/>
    <col min="7" max="7" width="17.5703125" style="314" customWidth="1"/>
    <col min="8" max="16384" width="8.85546875" style="314"/>
  </cols>
  <sheetData>
    <row r="1" spans="1:7" ht="18">
      <c r="A1" s="523" t="s">
        <v>13</v>
      </c>
      <c r="B1" s="315"/>
      <c r="C1" s="316"/>
      <c r="D1" s="316"/>
      <c r="E1" s="316"/>
      <c r="F1" s="315"/>
      <c r="G1" s="315"/>
    </row>
    <row r="2" spans="1:7" ht="21">
      <c r="A2" s="1259" t="s">
        <v>0</v>
      </c>
      <c r="B2" s="1241"/>
      <c r="C2" s="1241"/>
      <c r="D2" s="1241"/>
      <c r="E2" s="1241"/>
      <c r="F2" s="1241"/>
      <c r="G2" s="1241"/>
    </row>
    <row r="3" spans="1:7" ht="18">
      <c r="A3" s="1260" t="s">
        <v>14</v>
      </c>
      <c r="B3" s="1241"/>
      <c r="C3" s="1241"/>
      <c r="D3" s="1241"/>
      <c r="E3" s="1241"/>
      <c r="F3" s="1241"/>
      <c r="G3" s="1241"/>
    </row>
    <row r="4" spans="1:7" ht="18">
      <c r="A4" s="524"/>
      <c r="B4" s="375"/>
      <c r="C4" s="375"/>
      <c r="D4" s="375"/>
      <c r="E4" s="375"/>
      <c r="F4" s="375"/>
      <c r="G4" s="375"/>
    </row>
    <row r="5" spans="1:7" ht="18.75" thickBot="1">
      <c r="A5" s="317" t="s">
        <v>617</v>
      </c>
      <c r="B5" s="315"/>
      <c r="C5" s="315"/>
      <c r="D5" s="396"/>
      <c r="E5" s="315"/>
      <c r="F5" s="315"/>
      <c r="G5" s="315"/>
    </row>
    <row r="6" spans="1:7" ht="16.5" thickTop="1" thickBot="1">
      <c r="A6" s="1261" t="s">
        <v>16</v>
      </c>
      <c r="B6" s="1261" t="s">
        <v>17</v>
      </c>
      <c r="C6" s="1262" t="s">
        <v>238</v>
      </c>
      <c r="D6" s="1263" t="s">
        <v>574</v>
      </c>
      <c r="E6" s="1242"/>
      <c r="F6" s="1243"/>
      <c r="G6" s="1228" t="s">
        <v>556</v>
      </c>
    </row>
    <row r="7" spans="1:7" ht="35.25" thickTop="1">
      <c r="A7" s="1234"/>
      <c r="B7" s="1234"/>
      <c r="C7" s="1234"/>
      <c r="D7" s="525" t="s">
        <v>21</v>
      </c>
      <c r="E7" s="525" t="s">
        <v>22</v>
      </c>
      <c r="F7" s="1261" t="s">
        <v>23</v>
      </c>
      <c r="G7" s="1234"/>
    </row>
    <row r="8" spans="1:7" ht="18">
      <c r="A8" s="1234"/>
      <c r="B8" s="1234"/>
      <c r="C8" s="1234"/>
      <c r="D8" s="526" t="s">
        <v>24</v>
      </c>
      <c r="E8" s="526" t="s">
        <v>25</v>
      </c>
      <c r="F8" s="1234"/>
      <c r="G8" s="1234"/>
    </row>
    <row r="9" spans="1:7" ht="18.75" thickBot="1">
      <c r="A9" s="527" t="s">
        <v>26</v>
      </c>
      <c r="B9" s="527" t="s">
        <v>27</v>
      </c>
      <c r="C9" s="528" t="s">
        <v>28</v>
      </c>
      <c r="D9" s="528" t="s">
        <v>29</v>
      </c>
      <c r="E9" s="528" t="s">
        <v>30</v>
      </c>
      <c r="F9" s="527" t="s">
        <v>31</v>
      </c>
      <c r="G9" s="527" t="s">
        <v>32</v>
      </c>
    </row>
    <row r="10" spans="1:7" ht="18.75" thickTop="1">
      <c r="A10" s="324" t="s">
        <v>33</v>
      </c>
      <c r="B10" s="325"/>
      <c r="C10" s="326"/>
      <c r="D10" s="326"/>
      <c r="E10" s="326"/>
      <c r="F10" s="380"/>
      <c r="G10" s="327"/>
    </row>
    <row r="11" spans="1:7" ht="18">
      <c r="A11" s="328" t="s">
        <v>34</v>
      </c>
      <c r="B11" s="329"/>
      <c r="C11" s="330"/>
      <c r="D11" s="331"/>
      <c r="E11" s="331"/>
      <c r="F11" s="332"/>
      <c r="G11" s="332"/>
    </row>
    <row r="12" spans="1:7" ht="18">
      <c r="A12" s="333" t="s">
        <v>35</v>
      </c>
      <c r="B12" s="334"/>
      <c r="C12" s="335"/>
      <c r="D12" s="336"/>
      <c r="E12" s="336"/>
      <c r="F12" s="337"/>
      <c r="G12" s="337"/>
    </row>
    <row r="13" spans="1:7" ht="18">
      <c r="A13" s="359" t="s">
        <v>36</v>
      </c>
      <c r="B13" s="360" t="s">
        <v>37</v>
      </c>
      <c r="C13" s="179">
        <v>0</v>
      </c>
      <c r="D13" s="179">
        <v>0</v>
      </c>
      <c r="E13" s="179">
        <f>F13-D13</f>
        <v>15908748</v>
      </c>
      <c r="F13" s="191">
        <v>15908748</v>
      </c>
      <c r="G13" s="337">
        <v>16962697</v>
      </c>
    </row>
    <row r="14" spans="1:7" ht="18">
      <c r="A14" s="333" t="s">
        <v>40</v>
      </c>
      <c r="B14" s="360"/>
      <c r="C14" s="179"/>
      <c r="D14" s="239"/>
      <c r="E14" s="239"/>
      <c r="F14" s="191"/>
      <c r="G14" s="182"/>
    </row>
    <row r="15" spans="1:7" ht="18">
      <c r="A15" s="359" t="s">
        <v>41</v>
      </c>
      <c r="B15" s="360" t="s">
        <v>42</v>
      </c>
      <c r="C15" s="179">
        <v>0</v>
      </c>
      <c r="D15" s="179">
        <v>0</v>
      </c>
      <c r="E15" s="179">
        <f t="shared" ref="E15:E30" si="0">F15-D15</f>
        <v>624000</v>
      </c>
      <c r="F15" s="191">
        <v>624000</v>
      </c>
      <c r="G15" s="182">
        <f>2000*12*26</f>
        <v>624000</v>
      </c>
    </row>
    <row r="16" spans="1:7" ht="18">
      <c r="A16" s="359" t="s">
        <v>43</v>
      </c>
      <c r="B16" s="360" t="s">
        <v>44</v>
      </c>
      <c r="C16" s="179">
        <v>0</v>
      </c>
      <c r="D16" s="179">
        <v>0</v>
      </c>
      <c r="E16" s="179">
        <f t="shared" si="0"/>
        <v>102000</v>
      </c>
      <c r="F16" s="191">
        <v>102000</v>
      </c>
      <c r="G16" s="182">
        <f>9500*12</f>
        <v>114000</v>
      </c>
    </row>
    <row r="17" spans="1:7" ht="18">
      <c r="A17" s="359" t="s">
        <v>45</v>
      </c>
      <c r="B17" s="360" t="s">
        <v>46</v>
      </c>
      <c r="C17" s="179">
        <v>0</v>
      </c>
      <c r="D17" s="179">
        <v>0</v>
      </c>
      <c r="E17" s="179">
        <f t="shared" si="0"/>
        <v>102000</v>
      </c>
      <c r="F17" s="191">
        <v>102000</v>
      </c>
      <c r="G17" s="182">
        <v>114000</v>
      </c>
    </row>
    <row r="18" spans="1:7" ht="18">
      <c r="A18" s="359" t="s">
        <v>47</v>
      </c>
      <c r="B18" s="360" t="s">
        <v>48</v>
      </c>
      <c r="C18" s="179">
        <v>0</v>
      </c>
      <c r="D18" s="179">
        <v>0</v>
      </c>
      <c r="E18" s="179">
        <f t="shared" si="0"/>
        <v>156000</v>
      </c>
      <c r="F18" s="191">
        <v>156000</v>
      </c>
      <c r="G18" s="182">
        <f>7000*26</f>
        <v>182000</v>
      </c>
    </row>
    <row r="19" spans="1:7" ht="18">
      <c r="A19" s="359" t="s">
        <v>49</v>
      </c>
      <c r="B19" s="360" t="s">
        <v>50</v>
      </c>
      <c r="C19" s="179">
        <v>0</v>
      </c>
      <c r="D19" s="179">
        <v>0</v>
      </c>
      <c r="E19" s="179">
        <f t="shared" si="0"/>
        <v>130000</v>
      </c>
      <c r="F19" s="191">
        <v>130000</v>
      </c>
      <c r="G19" s="182">
        <f>5000*26</f>
        <v>130000</v>
      </c>
    </row>
    <row r="20" spans="1:7" ht="18">
      <c r="A20" s="359" t="s">
        <v>53</v>
      </c>
      <c r="B20" s="360" t="s">
        <v>54</v>
      </c>
      <c r="C20" s="179">
        <v>0</v>
      </c>
      <c r="D20" s="179">
        <v>0</v>
      </c>
      <c r="E20" s="179">
        <f t="shared" si="0"/>
        <v>1325729</v>
      </c>
      <c r="F20" s="191">
        <v>1325729</v>
      </c>
      <c r="G20" s="182">
        <v>1449723</v>
      </c>
    </row>
    <row r="21" spans="1:7" ht="18">
      <c r="A21" s="359" t="s">
        <v>55</v>
      </c>
      <c r="B21" s="360" t="s">
        <v>56</v>
      </c>
      <c r="C21" s="179">
        <v>0</v>
      </c>
      <c r="D21" s="179">
        <v>0</v>
      </c>
      <c r="E21" s="179">
        <f t="shared" si="0"/>
        <v>130000</v>
      </c>
      <c r="F21" s="191">
        <v>130000</v>
      </c>
      <c r="G21" s="182">
        <f>5000*26</f>
        <v>130000</v>
      </c>
    </row>
    <row r="22" spans="1:7" ht="18">
      <c r="A22" s="359" t="s">
        <v>57</v>
      </c>
      <c r="B22" s="360" t="s">
        <v>58</v>
      </c>
      <c r="C22" s="179">
        <v>0</v>
      </c>
      <c r="D22" s="179">
        <v>0</v>
      </c>
      <c r="E22" s="179">
        <f t="shared" si="0"/>
        <v>1325729</v>
      </c>
      <c r="F22" s="191">
        <v>1325729</v>
      </c>
      <c r="G22" s="182">
        <v>1387726</v>
      </c>
    </row>
    <row r="23" spans="1:7" ht="18">
      <c r="A23" s="359" t="s">
        <v>557</v>
      </c>
      <c r="B23" s="360" t="s">
        <v>58</v>
      </c>
      <c r="C23" s="179"/>
      <c r="D23" s="239"/>
      <c r="E23" s="179">
        <f t="shared" si="0"/>
        <v>0</v>
      </c>
      <c r="F23" s="191">
        <v>0</v>
      </c>
      <c r="G23" s="182">
        <f>7000*26</f>
        <v>182000</v>
      </c>
    </row>
    <row r="24" spans="1:7" ht="18">
      <c r="A24" s="333" t="s">
        <v>59</v>
      </c>
      <c r="B24" s="360"/>
      <c r="C24" s="179"/>
      <c r="D24" s="239"/>
      <c r="E24" s="239"/>
      <c r="F24" s="191"/>
      <c r="G24" s="182"/>
    </row>
    <row r="25" spans="1:7" ht="18">
      <c r="A25" s="359" t="s">
        <v>60</v>
      </c>
      <c r="B25" s="360" t="s">
        <v>61</v>
      </c>
      <c r="C25" s="179">
        <v>0</v>
      </c>
      <c r="D25" s="179">
        <v>0</v>
      </c>
      <c r="E25" s="179">
        <f t="shared" si="0"/>
        <v>1909049.76</v>
      </c>
      <c r="F25" s="191">
        <v>1909049.76</v>
      </c>
      <c r="G25" s="182">
        <v>2035523.64</v>
      </c>
    </row>
    <row r="26" spans="1:7" ht="18">
      <c r="A26" s="359" t="s">
        <v>62</v>
      </c>
      <c r="B26" s="360" t="s">
        <v>63</v>
      </c>
      <c r="C26" s="179">
        <v>0</v>
      </c>
      <c r="D26" s="179">
        <v>0</v>
      </c>
      <c r="E26" s="179">
        <f t="shared" si="0"/>
        <v>62400</v>
      </c>
      <c r="F26" s="191">
        <v>62400</v>
      </c>
      <c r="G26" s="182">
        <f>200*12*26</f>
        <v>62400</v>
      </c>
    </row>
    <row r="27" spans="1:7" ht="18">
      <c r="A27" s="359" t="s">
        <v>64</v>
      </c>
      <c r="B27" s="360" t="s">
        <v>65</v>
      </c>
      <c r="C27" s="179">
        <v>0</v>
      </c>
      <c r="D27" s="179">
        <v>0</v>
      </c>
      <c r="E27" s="179">
        <f t="shared" si="0"/>
        <v>397718.7</v>
      </c>
      <c r="F27" s="191">
        <v>397718.7</v>
      </c>
      <c r="G27" s="182">
        <v>407376.05</v>
      </c>
    </row>
    <row r="28" spans="1:7" ht="18">
      <c r="A28" s="364" t="s">
        <v>66</v>
      </c>
      <c r="B28" s="365" t="s">
        <v>67</v>
      </c>
      <c r="C28" s="241">
        <v>0</v>
      </c>
      <c r="D28" s="241">
        <v>0</v>
      </c>
      <c r="E28" s="179">
        <f t="shared" si="0"/>
        <v>31200</v>
      </c>
      <c r="F28" s="242">
        <v>31200</v>
      </c>
      <c r="G28" s="531">
        <f>100*12*26</f>
        <v>31200</v>
      </c>
    </row>
    <row r="29" spans="1:7" ht="18">
      <c r="A29" s="333" t="s">
        <v>68</v>
      </c>
      <c r="B29" s="582"/>
      <c r="C29" s="244"/>
      <c r="D29" s="244"/>
      <c r="E29" s="245"/>
      <c r="F29" s="246"/>
      <c r="G29" s="583"/>
    </row>
    <row r="30" spans="1:7" ht="18.75" thickBot="1">
      <c r="A30" s="359" t="s">
        <v>558</v>
      </c>
      <c r="B30" s="584" t="s">
        <v>520</v>
      </c>
      <c r="C30" s="247"/>
      <c r="D30" s="247"/>
      <c r="E30" s="179">
        <f t="shared" si="0"/>
        <v>0</v>
      </c>
      <c r="F30" s="1085">
        <v>0</v>
      </c>
      <c r="G30" s="533">
        <v>0</v>
      </c>
    </row>
    <row r="31" spans="1:7" ht="19.5" thickTop="1" thickBot="1">
      <c r="A31" s="351" t="s">
        <v>71</v>
      </c>
      <c r="B31" s="352"/>
      <c r="C31" s="183">
        <f>SUM(C13:C28)</f>
        <v>0</v>
      </c>
      <c r="D31" s="183">
        <f>SUM(D13:D28)</f>
        <v>0</v>
      </c>
      <c r="E31" s="184">
        <f>SUM(E13:E28)</f>
        <v>22204574.460000001</v>
      </c>
      <c r="F31" s="184">
        <f>SUM(F13:F28)</f>
        <v>22204574.460000001</v>
      </c>
      <c r="G31" s="185">
        <f>SUM(G13:G28)</f>
        <v>23812645.690000001</v>
      </c>
    </row>
    <row r="32" spans="1:7" ht="18.75" thickTop="1">
      <c r="A32" s="355" t="s">
        <v>72</v>
      </c>
      <c r="B32" s="356"/>
      <c r="C32" s="249"/>
      <c r="D32" s="249"/>
      <c r="E32" s="249"/>
      <c r="F32" s="120"/>
      <c r="G32" s="218"/>
    </row>
    <row r="33" spans="1:7" ht="18">
      <c r="A33" s="338" t="s">
        <v>275</v>
      </c>
      <c r="B33" s="399" t="s">
        <v>76</v>
      </c>
      <c r="C33" s="57">
        <v>0</v>
      </c>
      <c r="D33" s="96"/>
      <c r="E33" s="179">
        <f t="shared" ref="E33:E54" si="1">F33-D33</f>
        <v>1815833</v>
      </c>
      <c r="F33" s="84">
        <v>1815833</v>
      </c>
      <c r="G33" s="57">
        <v>1000000</v>
      </c>
    </row>
    <row r="34" spans="1:7" ht="18">
      <c r="A34" s="338" t="s">
        <v>618</v>
      </c>
      <c r="B34" s="1086" t="s">
        <v>78</v>
      </c>
      <c r="C34" s="57">
        <v>0</v>
      </c>
      <c r="D34" s="98"/>
      <c r="E34" s="179">
        <f t="shared" si="1"/>
        <v>2098468</v>
      </c>
      <c r="F34" s="84">
        <v>2098468</v>
      </c>
      <c r="G34" s="57">
        <v>500000</v>
      </c>
    </row>
    <row r="35" spans="1:7" ht="18">
      <c r="A35" s="338" t="s">
        <v>619</v>
      </c>
      <c r="B35" s="1086" t="s">
        <v>444</v>
      </c>
      <c r="C35" s="57">
        <v>0</v>
      </c>
      <c r="D35" s="36"/>
      <c r="E35" s="179">
        <f t="shared" si="1"/>
        <v>1297610</v>
      </c>
      <c r="F35" s="84">
        <v>1297610</v>
      </c>
      <c r="G35" s="57">
        <v>500000</v>
      </c>
    </row>
    <row r="36" spans="1:7" ht="18">
      <c r="A36" s="359" t="s">
        <v>620</v>
      </c>
      <c r="B36" s="1086" t="s">
        <v>80</v>
      </c>
      <c r="C36" s="57">
        <v>0</v>
      </c>
      <c r="D36" s="55"/>
      <c r="E36" s="179">
        <f t="shared" si="1"/>
        <v>213013.82</v>
      </c>
      <c r="F36" s="84">
        <v>213013.82</v>
      </c>
      <c r="G36" s="57">
        <v>150000</v>
      </c>
    </row>
    <row r="37" spans="1:7" ht="18">
      <c r="A37" s="359" t="s">
        <v>621</v>
      </c>
      <c r="B37" s="1087" t="s">
        <v>401</v>
      </c>
      <c r="C37" s="57">
        <v>0</v>
      </c>
      <c r="D37" s="56"/>
      <c r="E37" s="179">
        <f t="shared" si="1"/>
        <v>1500000</v>
      </c>
      <c r="F37" s="84">
        <v>1500000</v>
      </c>
      <c r="G37" s="57">
        <v>500000</v>
      </c>
    </row>
    <row r="38" spans="1:7" ht="18">
      <c r="A38" s="359" t="s">
        <v>570</v>
      </c>
      <c r="B38" s="1087" t="s">
        <v>82</v>
      </c>
      <c r="C38" s="57">
        <v>0</v>
      </c>
      <c r="D38" s="55"/>
      <c r="E38" s="179">
        <f t="shared" si="1"/>
        <v>1133115.5900000001</v>
      </c>
      <c r="F38" s="84">
        <v>1133115.5900000001</v>
      </c>
      <c r="G38" s="57">
        <v>500000</v>
      </c>
    </row>
    <row r="39" spans="1:7" ht="18">
      <c r="A39" s="1088" t="s">
        <v>622</v>
      </c>
      <c r="B39" s="1087" t="s">
        <v>405</v>
      </c>
      <c r="C39" s="57">
        <v>0</v>
      </c>
      <c r="D39" s="55"/>
      <c r="E39" s="179">
        <f t="shared" si="1"/>
        <v>1080000</v>
      </c>
      <c r="F39" s="84">
        <v>1080000</v>
      </c>
      <c r="G39" s="57">
        <v>1080000</v>
      </c>
    </row>
    <row r="40" spans="1:7" ht="18">
      <c r="A40" s="1088" t="s">
        <v>623</v>
      </c>
      <c r="B40" s="1087" t="s">
        <v>407</v>
      </c>
      <c r="C40" s="57">
        <v>0</v>
      </c>
      <c r="D40" s="55"/>
      <c r="E40" s="179">
        <f t="shared" si="1"/>
        <v>4088528.69</v>
      </c>
      <c r="F40" s="84">
        <v>4088528.69</v>
      </c>
      <c r="G40" s="57">
        <v>4088528</v>
      </c>
    </row>
    <row r="41" spans="1:7" ht="18">
      <c r="A41" s="1088" t="s">
        <v>83</v>
      </c>
      <c r="B41" s="1087" t="s">
        <v>84</v>
      </c>
      <c r="C41" s="57">
        <v>0</v>
      </c>
      <c r="D41" s="55"/>
      <c r="E41" s="179">
        <f t="shared" si="1"/>
        <v>360000</v>
      </c>
      <c r="F41" s="84">
        <v>360000</v>
      </c>
      <c r="G41" s="57">
        <v>360000</v>
      </c>
    </row>
    <row r="42" spans="1:7" ht="18">
      <c r="A42" s="1088" t="s">
        <v>565</v>
      </c>
      <c r="B42" s="1087" t="s">
        <v>86</v>
      </c>
      <c r="C42" s="57">
        <v>0</v>
      </c>
      <c r="D42" s="55"/>
      <c r="E42" s="179">
        <f t="shared" si="1"/>
        <v>1281720</v>
      </c>
      <c r="F42" s="84">
        <v>1281720</v>
      </c>
      <c r="G42" s="57">
        <v>1281720</v>
      </c>
    </row>
    <row r="43" spans="1:7" ht="18">
      <c r="A43" s="359" t="s">
        <v>624</v>
      </c>
      <c r="B43" s="1087" t="s">
        <v>625</v>
      </c>
      <c r="C43" s="57">
        <v>0</v>
      </c>
      <c r="D43" s="55"/>
      <c r="E43" s="179">
        <f t="shared" si="1"/>
        <v>1844226.2</v>
      </c>
      <c r="F43" s="84">
        <v>1844226.2</v>
      </c>
      <c r="G43" s="57">
        <v>1576241.35</v>
      </c>
    </row>
    <row r="44" spans="1:7" ht="18">
      <c r="A44" s="1088" t="s">
        <v>239</v>
      </c>
      <c r="B44" s="1087" t="s">
        <v>94</v>
      </c>
      <c r="C44" s="57">
        <v>0</v>
      </c>
      <c r="D44" s="55"/>
      <c r="E44" s="179">
        <f t="shared" si="1"/>
        <v>21705098.399999999</v>
      </c>
      <c r="F44" s="84">
        <v>21705098.399999999</v>
      </c>
      <c r="G44" s="37">
        <v>38413510.649999999</v>
      </c>
    </row>
    <row r="45" spans="1:7" ht="18">
      <c r="A45" s="359" t="s">
        <v>199</v>
      </c>
      <c r="B45" s="1087" t="s">
        <v>200</v>
      </c>
      <c r="C45" s="57">
        <v>0</v>
      </c>
      <c r="D45" s="55"/>
      <c r="E45" s="179">
        <f t="shared" si="1"/>
        <v>15274410.800000001</v>
      </c>
      <c r="F45" s="84">
        <v>15274410.800000001</v>
      </c>
      <c r="G45" s="57">
        <v>0</v>
      </c>
    </row>
    <row r="46" spans="1:7" ht="18">
      <c r="A46" s="359" t="s">
        <v>96</v>
      </c>
      <c r="B46" s="1087" t="s">
        <v>97</v>
      </c>
      <c r="C46" s="57">
        <v>0</v>
      </c>
      <c r="D46" s="55"/>
      <c r="E46" s="179">
        <f t="shared" si="1"/>
        <v>1000000</v>
      </c>
      <c r="F46" s="84">
        <v>1000000</v>
      </c>
      <c r="G46" s="57">
        <v>0</v>
      </c>
    </row>
    <row r="47" spans="1:7" ht="18">
      <c r="A47" s="359" t="s">
        <v>351</v>
      </c>
      <c r="B47" s="1087" t="s">
        <v>352</v>
      </c>
      <c r="C47" s="57">
        <v>0</v>
      </c>
      <c r="D47" s="57">
        <v>0</v>
      </c>
      <c r="E47" s="57">
        <v>0</v>
      </c>
      <c r="F47" s="57">
        <v>0</v>
      </c>
      <c r="G47" s="57">
        <v>50000</v>
      </c>
    </row>
    <row r="48" spans="1:7" ht="18">
      <c r="A48" s="359" t="s">
        <v>233</v>
      </c>
      <c r="B48" s="1087" t="s">
        <v>109</v>
      </c>
      <c r="C48" s="219"/>
      <c r="D48" s="55"/>
      <c r="E48" s="36"/>
      <c r="F48" s="84"/>
      <c r="G48" s="37"/>
    </row>
    <row r="49" spans="1:7" ht="36">
      <c r="A49" s="1089" t="s">
        <v>626</v>
      </c>
      <c r="B49" s="1087"/>
      <c r="C49" s="250"/>
      <c r="D49" s="55"/>
      <c r="E49" s="36"/>
      <c r="F49" s="84"/>
      <c r="G49" s="37">
        <v>1000000</v>
      </c>
    </row>
    <row r="50" spans="1:7" ht="18">
      <c r="A50" s="1090" t="s">
        <v>627</v>
      </c>
      <c r="B50" s="1087"/>
      <c r="C50" s="57">
        <v>0</v>
      </c>
      <c r="D50" s="55"/>
      <c r="E50" s="179">
        <f t="shared" si="1"/>
        <v>3000000</v>
      </c>
      <c r="F50" s="84">
        <v>3000000</v>
      </c>
      <c r="G50" s="57">
        <v>2000000</v>
      </c>
    </row>
    <row r="51" spans="1:7" ht="18">
      <c r="A51" s="1091" t="s">
        <v>628</v>
      </c>
      <c r="B51" s="1087"/>
      <c r="C51" s="57">
        <v>0</v>
      </c>
      <c r="D51" s="55"/>
      <c r="E51" s="179">
        <f t="shared" si="1"/>
        <v>500000</v>
      </c>
      <c r="F51" s="84">
        <v>500000</v>
      </c>
      <c r="G51" s="57">
        <v>500000</v>
      </c>
    </row>
    <row r="52" spans="1:7" ht="18">
      <c r="A52" s="1091" t="s">
        <v>629</v>
      </c>
      <c r="B52" s="1087"/>
      <c r="C52" s="57">
        <v>0</v>
      </c>
      <c r="D52" s="55"/>
      <c r="E52" s="179">
        <f t="shared" si="1"/>
        <v>500000</v>
      </c>
      <c r="F52" s="84">
        <v>500000</v>
      </c>
      <c r="G52" s="57">
        <v>500000</v>
      </c>
    </row>
    <row r="53" spans="1:7" ht="18">
      <c r="A53" s="1092" t="s">
        <v>630</v>
      </c>
      <c r="B53" s="1087"/>
      <c r="C53" s="57">
        <v>0</v>
      </c>
      <c r="D53" s="55"/>
      <c r="E53" s="179">
        <f t="shared" si="1"/>
        <v>1000000</v>
      </c>
      <c r="F53" s="84">
        <v>1000000</v>
      </c>
      <c r="G53" s="57">
        <v>1000000</v>
      </c>
    </row>
    <row r="54" spans="1:7" ht="18">
      <c r="A54" s="1091" t="s">
        <v>631</v>
      </c>
      <c r="B54" s="1087"/>
      <c r="C54" s="57">
        <v>0</v>
      </c>
      <c r="D54" s="55"/>
      <c r="E54" s="179">
        <f t="shared" si="1"/>
        <v>500000</v>
      </c>
      <c r="F54" s="84">
        <v>500000</v>
      </c>
      <c r="G54" s="57">
        <v>0</v>
      </c>
    </row>
    <row r="55" spans="1:7" ht="18.75" thickBot="1">
      <c r="A55" s="581"/>
      <c r="B55" s="1093"/>
      <c r="C55" s="219"/>
      <c r="D55" s="55"/>
      <c r="E55" s="179"/>
      <c r="F55" s="84"/>
      <c r="G55" s="57"/>
    </row>
    <row r="56" spans="1:7" ht="19.5" thickTop="1" thickBot="1">
      <c r="A56" s="351" t="s">
        <v>162</v>
      </c>
      <c r="B56" s="367"/>
      <c r="C56" s="75">
        <f>SUM(C33:C55)</f>
        <v>0</v>
      </c>
      <c r="D56" s="75">
        <f>SUM(D33:D55)</f>
        <v>0</v>
      </c>
      <c r="E56" s="75">
        <f>SUM(E33:E55)</f>
        <v>60192024.5</v>
      </c>
      <c r="F56" s="75">
        <f>SUM(F33:F55)</f>
        <v>60192024.5</v>
      </c>
      <c r="G56" s="77">
        <f>SUM(G33:G55)</f>
        <v>55000000</v>
      </c>
    </row>
    <row r="57" spans="1:7" ht="19.5" thickTop="1" thickBot="1">
      <c r="A57" s="534"/>
      <c r="B57" s="391"/>
      <c r="C57" s="180"/>
      <c r="D57" s="180"/>
      <c r="E57" s="180"/>
      <c r="F57" s="252"/>
      <c r="G57" s="195"/>
    </row>
    <row r="58" spans="1:7" ht="19.5" thickTop="1" thickBot="1">
      <c r="A58" s="351" t="s">
        <v>181</v>
      </c>
      <c r="B58" s="367"/>
      <c r="C58" s="183">
        <f>C31</f>
        <v>0</v>
      </c>
      <c r="D58" s="183">
        <f>D31</f>
        <v>0</v>
      </c>
      <c r="E58" s="184">
        <f>E56+E31</f>
        <v>82396598.960000008</v>
      </c>
      <c r="F58" s="184">
        <f>F56+F31</f>
        <v>82396598.960000008</v>
      </c>
      <c r="G58" s="184">
        <f>G56+G31</f>
        <v>78812645.689999998</v>
      </c>
    </row>
    <row r="59" spans="1:7" ht="18.75" thickTop="1">
      <c r="A59" s="317"/>
      <c r="B59" s="317"/>
      <c r="C59" s="317"/>
      <c r="D59" s="317"/>
      <c r="E59" s="317"/>
      <c r="F59" s="317"/>
      <c r="G59" s="317"/>
    </row>
    <row r="60" spans="1:7" ht="18">
      <c r="A60" s="317"/>
      <c r="B60" s="317"/>
      <c r="C60" s="318"/>
      <c r="D60" s="317"/>
      <c r="E60" s="317"/>
      <c r="F60" s="317"/>
      <c r="G60" s="1053"/>
    </row>
    <row r="61" spans="1:7" ht="18">
      <c r="A61" s="317"/>
      <c r="B61" s="317"/>
      <c r="C61" s="317"/>
      <c r="D61" s="317"/>
      <c r="E61" s="317"/>
      <c r="F61" s="317"/>
      <c r="G61" s="1053"/>
    </row>
    <row r="62" spans="1:7" ht="18">
      <c r="A62" s="317"/>
      <c r="B62" s="317"/>
      <c r="C62" s="317"/>
      <c r="D62" s="317"/>
      <c r="E62" s="317"/>
      <c r="F62" s="317"/>
      <c r="G62" s="1053"/>
    </row>
    <row r="63" spans="1:7" ht="18">
      <c r="A63" s="317" t="s">
        <v>183</v>
      </c>
      <c r="B63" s="317" t="s">
        <v>184</v>
      </c>
      <c r="C63" s="317"/>
      <c r="D63" s="317"/>
      <c r="E63" s="317"/>
      <c r="F63" s="317" t="s">
        <v>185</v>
      </c>
      <c r="G63" s="1053"/>
    </row>
    <row r="64" spans="1:7" ht="18">
      <c r="A64" s="317"/>
      <c r="B64" s="317"/>
      <c r="C64" s="317"/>
      <c r="D64" s="317"/>
      <c r="E64" s="317"/>
      <c r="F64" s="317"/>
      <c r="G64" s="1053"/>
    </row>
    <row r="65" spans="1:7" ht="18">
      <c r="A65" s="317"/>
      <c r="B65" s="317"/>
      <c r="C65" s="317"/>
      <c r="D65" s="317"/>
      <c r="E65" s="317"/>
      <c r="F65" s="317"/>
      <c r="G65" s="1053"/>
    </row>
    <row r="66" spans="1:7" ht="18">
      <c r="A66" s="317"/>
      <c r="B66" s="317"/>
      <c r="C66" s="317"/>
      <c r="D66" s="317"/>
      <c r="E66" s="317"/>
      <c r="F66" s="317"/>
      <c r="G66" s="1053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17"/>
      <c r="B68" s="317"/>
      <c r="C68" s="317"/>
      <c r="D68" s="317"/>
      <c r="E68" s="317"/>
      <c r="F68" s="317"/>
      <c r="G68" s="317"/>
    </row>
    <row r="69" spans="1:7" ht="18">
      <c r="A69" s="309" t="s">
        <v>632</v>
      </c>
      <c r="B69" s="1239" t="s">
        <v>187</v>
      </c>
      <c r="C69" s="1236"/>
      <c r="D69" s="1236"/>
      <c r="E69" s="369"/>
      <c r="F69" s="1264" t="s">
        <v>188</v>
      </c>
      <c r="G69" s="1241"/>
    </row>
    <row r="70" spans="1:7" ht="18">
      <c r="A70" s="371" t="s">
        <v>633</v>
      </c>
      <c r="B70" s="1235" t="s">
        <v>190</v>
      </c>
      <c r="C70" s="1236"/>
      <c r="D70" s="1236"/>
      <c r="E70" s="372"/>
      <c r="F70" s="1265" t="s">
        <v>191</v>
      </c>
      <c r="G70" s="1241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8">
      <c r="A72" s="317"/>
      <c r="B72" s="317"/>
      <c r="C72" s="317"/>
      <c r="D72" s="317"/>
      <c r="E72" s="317"/>
      <c r="F72" s="317"/>
      <c r="G72" s="317"/>
    </row>
    <row r="73" spans="1:7" ht="16.5">
      <c r="A73" s="1238" t="s">
        <v>194</v>
      </c>
      <c r="B73" s="1238"/>
      <c r="C73" s="1238"/>
      <c r="D73" s="1238"/>
      <c r="E73" s="1238"/>
      <c r="F73" s="1238"/>
      <c r="G73" s="1238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 t="s">
        <v>183</v>
      </c>
      <c r="B87" s="317" t="s">
        <v>184</v>
      </c>
      <c r="C87" s="317"/>
      <c r="D87" s="317"/>
      <c r="E87" s="317"/>
      <c r="F87" s="317" t="s">
        <v>185</v>
      </c>
      <c r="G87" s="1053"/>
    </row>
    <row r="88" spans="1:7" ht="18">
      <c r="A88" s="317"/>
      <c r="B88" s="317"/>
      <c r="C88" s="317"/>
      <c r="D88" s="317"/>
      <c r="E88" s="317"/>
      <c r="F88" s="317"/>
      <c r="G88" s="1053"/>
    </row>
    <row r="89" spans="1:7" ht="18">
      <c r="A89" s="317"/>
      <c r="B89" s="317"/>
      <c r="C89" s="317"/>
      <c r="D89" s="317"/>
      <c r="E89" s="317"/>
      <c r="F89" s="317"/>
      <c r="G89" s="1053"/>
    </row>
    <row r="90" spans="1:7" ht="18">
      <c r="A90" s="317"/>
      <c r="B90" s="317"/>
      <c r="C90" s="317"/>
      <c r="D90" s="317"/>
      <c r="E90" s="317"/>
      <c r="F90" s="317"/>
      <c r="G90" s="1053"/>
    </row>
    <row r="91" spans="1:7" ht="18">
      <c r="A91" s="317"/>
      <c r="B91" s="317"/>
      <c r="C91" s="317"/>
      <c r="D91" s="317"/>
      <c r="E91" s="317"/>
      <c r="F91" s="317"/>
      <c r="G91" s="1053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09" t="s">
        <v>632</v>
      </c>
      <c r="B94" s="1239" t="s">
        <v>187</v>
      </c>
      <c r="C94" s="1236"/>
      <c r="D94" s="1236"/>
      <c r="E94" s="369"/>
      <c r="F94" s="1264" t="s">
        <v>188</v>
      </c>
      <c r="G94" s="1241"/>
    </row>
    <row r="95" spans="1:7" ht="18">
      <c r="A95" s="371" t="s">
        <v>633</v>
      </c>
      <c r="B95" s="1235" t="s">
        <v>190</v>
      </c>
      <c r="C95" s="1236"/>
      <c r="D95" s="1236"/>
      <c r="E95" s="372"/>
      <c r="F95" s="1265" t="s">
        <v>191</v>
      </c>
      <c r="G95" s="1241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6.5">
      <c r="A98" s="1238" t="s">
        <v>194</v>
      </c>
      <c r="B98" s="1238"/>
      <c r="C98" s="1238"/>
      <c r="D98" s="1238"/>
      <c r="E98" s="1238"/>
      <c r="F98" s="1238"/>
      <c r="G98" s="1238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 ht="18">
      <c r="A249" s="317"/>
      <c r="B249" s="317"/>
      <c r="C249" s="317"/>
      <c r="D249" s="317"/>
      <c r="E249" s="317"/>
      <c r="F249" s="317"/>
      <c r="G249" s="317"/>
    </row>
    <row r="250" spans="1:7" ht="18">
      <c r="A250" s="317"/>
      <c r="B250" s="317"/>
      <c r="C250" s="317"/>
      <c r="D250" s="317"/>
      <c r="E250" s="317"/>
      <c r="F250" s="317"/>
      <c r="G250" s="317"/>
    </row>
    <row r="251" spans="1:7" ht="18">
      <c r="A251" s="317"/>
      <c r="B251" s="317"/>
      <c r="C251" s="317"/>
      <c r="D251" s="317"/>
      <c r="E251" s="317"/>
      <c r="F251" s="317"/>
      <c r="G251" s="317"/>
    </row>
    <row r="252" spans="1:7" ht="18">
      <c r="A252" s="317"/>
      <c r="B252" s="317"/>
      <c r="C252" s="317"/>
      <c r="D252" s="317"/>
      <c r="E252" s="317"/>
      <c r="F252" s="317"/>
      <c r="G252" s="317"/>
    </row>
    <row r="253" spans="1:7" ht="18">
      <c r="A253" s="317"/>
      <c r="B253" s="317"/>
      <c r="C253" s="317"/>
      <c r="D253" s="317"/>
      <c r="E253" s="317"/>
      <c r="F253" s="317"/>
      <c r="G253" s="317"/>
    </row>
    <row r="254" spans="1:7" ht="18">
      <c r="A254" s="317"/>
      <c r="B254" s="317"/>
      <c r="C254" s="317"/>
      <c r="D254" s="317"/>
      <c r="E254" s="317"/>
      <c r="F254" s="317"/>
      <c r="G254" s="317"/>
    </row>
    <row r="255" spans="1:7" ht="18">
      <c r="A255" s="317"/>
      <c r="B255" s="317"/>
      <c r="C255" s="317"/>
      <c r="D255" s="317"/>
      <c r="E255" s="317"/>
      <c r="F255" s="317"/>
      <c r="G255" s="317"/>
    </row>
    <row r="256" spans="1:7" ht="18">
      <c r="A256" s="317"/>
      <c r="B256" s="317"/>
      <c r="C256" s="317"/>
      <c r="D256" s="317"/>
      <c r="E256" s="317"/>
      <c r="F256" s="317"/>
      <c r="G256" s="317"/>
    </row>
    <row r="257" spans="1:7" ht="18">
      <c r="A257" s="317"/>
      <c r="B257" s="317"/>
      <c r="C257" s="317"/>
      <c r="D257" s="317"/>
      <c r="E257" s="317"/>
      <c r="F257" s="317"/>
      <c r="G257" s="317"/>
    </row>
    <row r="258" spans="1:7" ht="18">
      <c r="A258" s="317"/>
      <c r="B258" s="317"/>
      <c r="C258" s="317"/>
      <c r="D258" s="317"/>
      <c r="E258" s="317"/>
      <c r="F258" s="317"/>
      <c r="G258" s="317"/>
    </row>
    <row r="259" spans="1:7" ht="18">
      <c r="A259" s="317"/>
      <c r="B259" s="317"/>
      <c r="C259" s="317"/>
      <c r="D259" s="317"/>
      <c r="E259" s="317"/>
      <c r="F259" s="317"/>
      <c r="G259" s="317"/>
    </row>
    <row r="260" spans="1:7" ht="18">
      <c r="A260" s="317"/>
      <c r="B260" s="317"/>
      <c r="C260" s="317"/>
      <c r="D260" s="317"/>
      <c r="E260" s="317"/>
      <c r="F260" s="317"/>
      <c r="G260" s="317"/>
    </row>
    <row r="261" spans="1:7" ht="18">
      <c r="A261" s="317"/>
      <c r="B261" s="317"/>
      <c r="C261" s="317"/>
      <c r="D261" s="317"/>
      <c r="E261" s="317"/>
      <c r="F261" s="317"/>
      <c r="G261" s="317"/>
    </row>
    <row r="262" spans="1:7" ht="18">
      <c r="A262" s="317"/>
      <c r="B262" s="317"/>
      <c r="C262" s="317"/>
      <c r="D262" s="317"/>
      <c r="E262" s="317"/>
      <c r="F262" s="317"/>
      <c r="G262" s="317"/>
    </row>
    <row r="263" spans="1:7" ht="18">
      <c r="A263" s="317"/>
      <c r="B263" s="317"/>
      <c r="C263" s="317"/>
      <c r="D263" s="317"/>
      <c r="E263" s="317"/>
      <c r="F263" s="317"/>
      <c r="G263" s="317"/>
    </row>
    <row r="264" spans="1:7" ht="18">
      <c r="A264" s="317"/>
      <c r="B264" s="317"/>
      <c r="C264" s="317"/>
      <c r="D264" s="317"/>
      <c r="E264" s="317"/>
      <c r="F264" s="317"/>
      <c r="G264" s="317"/>
    </row>
    <row r="265" spans="1:7" ht="18">
      <c r="A265" s="317"/>
      <c r="B265" s="317"/>
      <c r="C265" s="317"/>
      <c r="D265" s="317"/>
      <c r="E265" s="317"/>
      <c r="F265" s="317"/>
      <c r="G265" s="317"/>
    </row>
    <row r="266" spans="1:7" ht="18">
      <c r="A266" s="317"/>
      <c r="B266" s="317"/>
      <c r="C266" s="317"/>
      <c r="D266" s="317"/>
      <c r="E266" s="317"/>
      <c r="F266" s="317"/>
      <c r="G266" s="317"/>
    </row>
    <row r="267" spans="1:7" ht="18">
      <c r="A267" s="317"/>
      <c r="B267" s="317"/>
      <c r="C267" s="317"/>
      <c r="D267" s="317"/>
      <c r="E267" s="317"/>
      <c r="F267" s="317"/>
      <c r="G267" s="317"/>
    </row>
    <row r="268" spans="1:7" ht="18">
      <c r="A268" s="317"/>
      <c r="B268" s="317"/>
      <c r="C268" s="317"/>
      <c r="D268" s="317"/>
      <c r="E268" s="317"/>
      <c r="F268" s="317"/>
      <c r="G268" s="317"/>
    </row>
    <row r="269" spans="1:7" ht="18">
      <c r="A269" s="317"/>
      <c r="B269" s="317"/>
      <c r="C269" s="317"/>
      <c r="D269" s="317"/>
      <c r="E269" s="317"/>
      <c r="F269" s="317"/>
      <c r="G269" s="317"/>
    </row>
    <row r="270" spans="1:7" ht="18">
      <c r="A270" s="317"/>
      <c r="B270" s="317"/>
      <c r="C270" s="317"/>
      <c r="D270" s="317"/>
      <c r="E270" s="317"/>
      <c r="F270" s="317"/>
      <c r="G270" s="31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  <row r="994" spans="1:7">
      <c r="A994" s="377"/>
      <c r="B994" s="377"/>
      <c r="C994" s="377"/>
      <c r="D994" s="377"/>
      <c r="E994" s="377"/>
      <c r="F994" s="377"/>
      <c r="G994" s="377"/>
    </row>
    <row r="995" spans="1:7">
      <c r="A995" s="377"/>
      <c r="B995" s="377"/>
      <c r="C995" s="377"/>
      <c r="D995" s="377"/>
      <c r="E995" s="377"/>
      <c r="F995" s="377"/>
      <c r="G995" s="377"/>
    </row>
    <row r="996" spans="1:7">
      <c r="A996" s="377"/>
      <c r="B996" s="377"/>
      <c r="C996" s="377"/>
      <c r="D996" s="377"/>
      <c r="E996" s="377"/>
      <c r="F996" s="377"/>
      <c r="G996" s="377"/>
    </row>
    <row r="997" spans="1:7">
      <c r="A997" s="377"/>
      <c r="B997" s="377"/>
      <c r="C997" s="377"/>
      <c r="D997" s="377"/>
      <c r="E997" s="377"/>
      <c r="F997" s="377"/>
      <c r="G997" s="377"/>
    </row>
    <row r="998" spans="1:7">
      <c r="A998" s="377"/>
      <c r="B998" s="377"/>
      <c r="C998" s="377"/>
      <c r="D998" s="377"/>
      <c r="E998" s="377"/>
      <c r="F998" s="377"/>
      <c r="G998" s="377"/>
    </row>
    <row r="999" spans="1:7">
      <c r="A999" s="377"/>
      <c r="B999" s="377"/>
      <c r="C999" s="377"/>
      <c r="D999" s="377"/>
      <c r="E999" s="377"/>
      <c r="F999" s="377"/>
      <c r="G999" s="377"/>
    </row>
    <row r="1000" spans="1:7">
      <c r="A1000" s="377"/>
      <c r="B1000" s="377"/>
      <c r="C1000" s="377"/>
      <c r="D1000" s="377"/>
      <c r="E1000" s="377"/>
      <c r="F1000" s="377"/>
      <c r="G1000" s="377"/>
    </row>
    <row r="1001" spans="1:7">
      <c r="A1001" s="377"/>
      <c r="B1001" s="377"/>
      <c r="C1001" s="377"/>
      <c r="D1001" s="377"/>
      <c r="E1001" s="377"/>
      <c r="F1001" s="377"/>
      <c r="G1001" s="377"/>
    </row>
    <row r="1002" spans="1:7">
      <c r="A1002" s="377"/>
      <c r="B1002" s="377"/>
      <c r="C1002" s="377"/>
      <c r="D1002" s="377"/>
      <c r="E1002" s="377"/>
      <c r="F1002" s="377"/>
      <c r="G1002" s="377"/>
    </row>
    <row r="1003" spans="1:7">
      <c r="A1003" s="377"/>
      <c r="B1003" s="377"/>
      <c r="C1003" s="377"/>
      <c r="D1003" s="377"/>
      <c r="E1003" s="377"/>
      <c r="F1003" s="377"/>
      <c r="G1003" s="377"/>
    </row>
    <row r="1004" spans="1:7">
      <c r="A1004" s="377"/>
      <c r="B1004" s="377"/>
      <c r="C1004" s="377"/>
      <c r="D1004" s="377"/>
      <c r="E1004" s="377"/>
      <c r="F1004" s="377"/>
      <c r="G1004" s="377"/>
    </row>
    <row r="1005" spans="1:7">
      <c r="A1005" s="377"/>
      <c r="B1005" s="377"/>
      <c r="C1005" s="377"/>
      <c r="D1005" s="377"/>
      <c r="E1005" s="377"/>
      <c r="F1005" s="377"/>
      <c r="G1005" s="377"/>
    </row>
    <row r="1006" spans="1:7">
      <c r="A1006" s="377"/>
      <c r="B1006" s="377"/>
      <c r="C1006" s="377"/>
      <c r="D1006" s="377"/>
      <c r="E1006" s="377"/>
      <c r="F1006" s="377"/>
      <c r="G1006" s="377"/>
    </row>
    <row r="1007" spans="1:7">
      <c r="A1007" s="377"/>
      <c r="B1007" s="377"/>
      <c r="C1007" s="377"/>
      <c r="D1007" s="377"/>
      <c r="E1007" s="377"/>
      <c r="F1007" s="377"/>
      <c r="G1007" s="377"/>
    </row>
    <row r="1008" spans="1:7">
      <c r="A1008" s="377"/>
      <c r="B1008" s="377"/>
      <c r="C1008" s="377"/>
      <c r="D1008" s="377"/>
      <c r="E1008" s="377"/>
      <c r="F1008" s="377"/>
      <c r="G1008" s="377"/>
    </row>
    <row r="1009" spans="1:7">
      <c r="A1009" s="377"/>
      <c r="B1009" s="377"/>
      <c r="C1009" s="377"/>
      <c r="D1009" s="377"/>
      <c r="E1009" s="377"/>
      <c r="F1009" s="377"/>
      <c r="G1009" s="377"/>
    </row>
    <row r="1010" spans="1:7">
      <c r="A1010" s="377"/>
      <c r="B1010" s="377"/>
      <c r="C1010" s="377"/>
      <c r="D1010" s="377"/>
      <c r="E1010" s="377"/>
      <c r="F1010" s="377"/>
      <c r="G1010" s="377"/>
    </row>
  </sheetData>
  <sheetProtection algorithmName="SHA-512" hashValue="jYe+fPZ/QJCLpNG1Cso9de6c29gyLkezJuLM1TATDXKzDrW4Zvphcz5Ozo/vTDKnGklAtadhZVX/E0z3V2wz6A==" saltValue="hzKOvzysIxDQymvZBlEeWA==" spinCount="100000" sheet="1" objects="1" scenarios="1"/>
  <mergeCells count="18">
    <mergeCell ref="B95:D95"/>
    <mergeCell ref="F95:G95"/>
    <mergeCell ref="A98:G98"/>
    <mergeCell ref="B69:D69"/>
    <mergeCell ref="F69:G69"/>
    <mergeCell ref="B70:D70"/>
    <mergeCell ref="F70:G70"/>
    <mergeCell ref="A73:G73"/>
    <mergeCell ref="B94:D94"/>
    <mergeCell ref="F94:G94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01CE8-4A5B-414C-8BAB-AF31A1112523}">
  <dimension ref="A1:Z995"/>
  <sheetViews>
    <sheetView topLeftCell="A25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9" width="8.85546875" style="314"/>
    <col min="10" max="10" width="13.85546875" style="314" bestFit="1" customWidth="1"/>
    <col min="11" max="11" width="8.85546875" style="314"/>
    <col min="12" max="12" width="13.85546875" style="314" bestFit="1" customWidth="1"/>
    <col min="13" max="16384" width="8.85546875" style="314"/>
  </cols>
  <sheetData>
    <row r="1" spans="1:26" ht="16.5" customHeight="1">
      <c r="A1" s="311" t="s">
        <v>13</v>
      </c>
      <c r="B1" s="312"/>
      <c r="C1" s="313"/>
      <c r="D1" s="313"/>
      <c r="E1" s="313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</row>
    <row r="2" spans="1:26" ht="18.75" customHeight="1">
      <c r="A2" s="1225" t="s">
        <v>0</v>
      </c>
      <c r="B2" s="1241"/>
      <c r="C2" s="1241"/>
      <c r="D2" s="1241"/>
      <c r="E2" s="1241"/>
      <c r="F2" s="1241"/>
      <c r="G2" s="1241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376"/>
    </row>
    <row r="3" spans="1:26" ht="13.5" customHeight="1">
      <c r="A3" s="1227" t="s">
        <v>14</v>
      </c>
      <c r="B3" s="1241"/>
      <c r="C3" s="1241"/>
      <c r="D3" s="1241"/>
      <c r="E3" s="1241"/>
      <c r="F3" s="1241"/>
      <c r="G3" s="1241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</row>
    <row r="4" spans="1:26" ht="9.75" customHeight="1">
      <c r="A4" s="315"/>
      <c r="B4" s="315"/>
      <c r="C4" s="316"/>
      <c r="D4" s="316"/>
      <c r="E4" s="316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</row>
    <row r="5" spans="1:26" ht="27.75" customHeight="1" thickBot="1">
      <c r="A5" s="317" t="s">
        <v>645</v>
      </c>
      <c r="B5" s="317"/>
      <c r="C5" s="317"/>
      <c r="D5" s="318"/>
      <c r="E5" s="317"/>
      <c r="F5" s="317"/>
      <c r="G5" s="317"/>
      <c r="H5" s="377"/>
      <c r="I5" s="377"/>
      <c r="J5" s="377"/>
      <c r="K5" s="377"/>
      <c r="L5" s="377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</row>
    <row r="6" spans="1:26" ht="28.5" customHeight="1" thickTop="1" thickBot="1">
      <c r="A6" s="1228" t="s">
        <v>16</v>
      </c>
      <c r="B6" s="1228" t="s">
        <v>17</v>
      </c>
      <c r="C6" s="1230" t="s">
        <v>561</v>
      </c>
      <c r="D6" s="1231" t="s">
        <v>569</v>
      </c>
      <c r="E6" s="1242"/>
      <c r="F6" s="1243"/>
      <c r="G6" s="1228" t="s">
        <v>556</v>
      </c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</row>
    <row r="7" spans="1:26" ht="28.5" customHeight="1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378"/>
      <c r="S7" s="378"/>
      <c r="T7" s="378"/>
      <c r="U7" s="378"/>
      <c r="V7" s="378"/>
      <c r="W7" s="378"/>
      <c r="X7" s="378"/>
      <c r="Y7" s="378"/>
      <c r="Z7" s="378"/>
    </row>
    <row r="8" spans="1:26" ht="28.5" customHeight="1">
      <c r="A8" s="1234"/>
      <c r="B8" s="1234"/>
      <c r="C8" s="1234"/>
      <c r="D8" s="321" t="s">
        <v>24</v>
      </c>
      <c r="E8" s="321" t="s">
        <v>25</v>
      </c>
      <c r="F8" s="1234"/>
      <c r="G8" s="1234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8"/>
      <c r="S8" s="378"/>
      <c r="T8" s="378"/>
      <c r="U8" s="378"/>
      <c r="V8" s="378"/>
      <c r="W8" s="378"/>
      <c r="X8" s="378"/>
      <c r="Y8" s="378"/>
      <c r="Z8" s="378"/>
    </row>
    <row r="9" spans="1:26" ht="18.75" customHeight="1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79" t="s">
        <v>32</v>
      </c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8"/>
      <c r="Z9" s="378"/>
    </row>
    <row r="10" spans="1:26" ht="18.75" customHeight="1" thickTop="1">
      <c r="A10" s="324" t="s">
        <v>33</v>
      </c>
      <c r="B10" s="325"/>
      <c r="C10" s="325"/>
      <c r="D10" s="326"/>
      <c r="E10" s="326"/>
      <c r="F10" s="380"/>
      <c r="G10" s="32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/>
      <c r="S10" s="377"/>
      <c r="T10" s="377"/>
      <c r="U10" s="377"/>
      <c r="V10" s="377"/>
      <c r="W10" s="377"/>
      <c r="X10" s="377"/>
      <c r="Y10" s="377"/>
      <c r="Z10" s="377"/>
    </row>
    <row r="11" spans="1:26" ht="18" customHeight="1">
      <c r="A11" s="328" t="s">
        <v>34</v>
      </c>
      <c r="B11" s="329"/>
      <c r="C11" s="330"/>
      <c r="D11" s="330"/>
      <c r="E11" s="330"/>
      <c r="F11" s="381"/>
      <c r="G11" s="332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/>
      <c r="S11" s="377"/>
      <c r="T11" s="377"/>
      <c r="U11" s="377"/>
      <c r="V11" s="377"/>
      <c r="W11" s="377"/>
      <c r="X11" s="377"/>
      <c r="Y11" s="377"/>
      <c r="Z11" s="377"/>
    </row>
    <row r="12" spans="1:26" ht="18" customHeight="1">
      <c r="A12" s="340" t="s">
        <v>35</v>
      </c>
      <c r="B12" s="382"/>
      <c r="C12" s="335"/>
      <c r="D12" s="335"/>
      <c r="E12" s="335"/>
      <c r="F12" s="383"/>
      <c r="G12" s="33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  <c r="T12" s="377"/>
      <c r="U12" s="377"/>
      <c r="V12" s="377"/>
      <c r="W12" s="377"/>
      <c r="X12" s="377"/>
      <c r="Y12" s="377"/>
      <c r="Z12" s="377"/>
    </row>
    <row r="13" spans="1:26" ht="18" customHeight="1">
      <c r="A13" s="338" t="s">
        <v>36</v>
      </c>
      <c r="B13" s="339" t="s">
        <v>37</v>
      </c>
      <c r="C13" s="36">
        <v>6600035.9699999997</v>
      </c>
      <c r="D13" s="36">
        <v>3613844.35</v>
      </c>
      <c r="E13" s="36">
        <f t="shared" ref="E13:E14" si="0">F13-D13</f>
        <v>5654691.6500000004</v>
      </c>
      <c r="F13" s="37">
        <v>9268536</v>
      </c>
      <c r="G13" s="37">
        <v>9847318</v>
      </c>
      <c r="H13" s="377"/>
      <c r="I13" s="377"/>
      <c r="J13" s="377"/>
      <c r="K13" s="377"/>
      <c r="L13" s="377"/>
      <c r="M13" s="377"/>
      <c r="N13" s="377"/>
      <c r="O13" s="377"/>
      <c r="P13" s="377"/>
      <c r="Q13" s="377"/>
      <c r="R13" s="377"/>
      <c r="S13" s="377"/>
      <c r="T13" s="377"/>
      <c r="U13" s="377"/>
      <c r="V13" s="377"/>
      <c r="W13" s="377"/>
      <c r="X13" s="377"/>
      <c r="Y13" s="377"/>
      <c r="Z13" s="377"/>
    </row>
    <row r="14" spans="1:26" ht="18" customHeight="1">
      <c r="A14" s="338" t="s">
        <v>38</v>
      </c>
      <c r="B14" s="339" t="s">
        <v>39</v>
      </c>
      <c r="C14" s="36">
        <v>1306499.8999999999</v>
      </c>
      <c r="D14" s="36">
        <v>702000</v>
      </c>
      <c r="E14" s="36">
        <f t="shared" si="0"/>
        <v>702000</v>
      </c>
      <c r="F14" s="37">
        <v>1404000</v>
      </c>
      <c r="G14" s="37">
        <v>1485135</v>
      </c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/>
    </row>
    <row r="15" spans="1:26" ht="18" customHeight="1">
      <c r="A15" s="340" t="s">
        <v>40</v>
      </c>
      <c r="B15" s="339"/>
      <c r="C15" s="36"/>
      <c r="D15" s="36"/>
      <c r="E15" s="36"/>
      <c r="F15" s="37"/>
      <c r="G15" s="3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7"/>
      <c r="U15" s="377"/>
      <c r="V15" s="377"/>
      <c r="W15" s="377"/>
      <c r="X15" s="377"/>
      <c r="Y15" s="377"/>
      <c r="Z15" s="377"/>
    </row>
    <row r="16" spans="1:26" ht="18" customHeight="1">
      <c r="A16" s="338" t="s">
        <v>41</v>
      </c>
      <c r="B16" s="339" t="s">
        <v>42</v>
      </c>
      <c r="C16" s="36">
        <v>866636.38</v>
      </c>
      <c r="D16" s="36">
        <v>439181.83</v>
      </c>
      <c r="E16" s="36">
        <f t="shared" ref="E16:E23" si="1">F16-D16</f>
        <v>568818.16999999993</v>
      </c>
      <c r="F16" s="37">
        <v>1008000</v>
      </c>
      <c r="G16" s="37">
        <v>1008000</v>
      </c>
      <c r="H16" s="377"/>
      <c r="I16" s="377"/>
      <c r="J16" s="377"/>
      <c r="K16" s="377"/>
      <c r="L16" s="377"/>
      <c r="M16" s="377"/>
      <c r="N16" s="377"/>
      <c r="O16" s="377"/>
      <c r="P16" s="377"/>
      <c r="Q16" s="377"/>
      <c r="R16" s="377"/>
      <c r="S16" s="377"/>
      <c r="T16" s="377"/>
      <c r="U16" s="377"/>
      <c r="V16" s="377"/>
      <c r="W16" s="377"/>
      <c r="X16" s="377"/>
      <c r="Y16" s="377"/>
      <c r="Z16" s="377"/>
    </row>
    <row r="17" spans="1:26" ht="18" customHeight="1">
      <c r="A17" s="338" t="s">
        <v>43</v>
      </c>
      <c r="B17" s="339" t="s">
        <v>44</v>
      </c>
      <c r="C17" s="36">
        <v>90000</v>
      </c>
      <c r="D17" s="36">
        <v>45000</v>
      </c>
      <c r="E17" s="36">
        <f t="shared" si="1"/>
        <v>45000</v>
      </c>
      <c r="F17" s="37">
        <v>90000</v>
      </c>
      <c r="G17" s="37">
        <v>102000</v>
      </c>
      <c r="H17" s="377"/>
      <c r="I17" s="377"/>
      <c r="J17" s="377"/>
      <c r="K17" s="377"/>
      <c r="L17" s="377"/>
      <c r="M17" s="377"/>
      <c r="N17" s="377"/>
      <c r="O17" s="377"/>
      <c r="P17" s="377"/>
      <c r="Q17" s="377"/>
      <c r="R17" s="377"/>
      <c r="S17" s="377"/>
      <c r="T17" s="377"/>
      <c r="U17" s="377"/>
      <c r="V17" s="377"/>
      <c r="W17" s="377"/>
      <c r="X17" s="377"/>
      <c r="Y17" s="377"/>
      <c r="Z17" s="377"/>
    </row>
    <row r="18" spans="1:26" ht="18" customHeight="1">
      <c r="A18" s="338" t="s">
        <v>45</v>
      </c>
      <c r="B18" s="339" t="s">
        <v>46</v>
      </c>
      <c r="C18" s="36">
        <v>90000</v>
      </c>
      <c r="D18" s="36">
        <v>45000</v>
      </c>
      <c r="E18" s="36">
        <f t="shared" si="1"/>
        <v>45000</v>
      </c>
      <c r="F18" s="37">
        <v>90000</v>
      </c>
      <c r="G18" s="37">
        <v>102000</v>
      </c>
      <c r="H18" s="377"/>
      <c r="I18" s="377"/>
      <c r="J18" s="377"/>
      <c r="K18" s="377"/>
      <c r="L18" s="377"/>
      <c r="M18" s="377"/>
      <c r="N18" s="377"/>
      <c r="O18" s="377"/>
      <c r="P18" s="377"/>
      <c r="Q18" s="377"/>
      <c r="R18" s="377"/>
      <c r="S18" s="377"/>
      <c r="T18" s="377"/>
      <c r="U18" s="377"/>
      <c r="V18" s="377"/>
      <c r="W18" s="377"/>
      <c r="X18" s="377"/>
      <c r="Y18" s="377"/>
      <c r="Z18" s="377"/>
    </row>
    <row r="19" spans="1:26" ht="18" customHeight="1">
      <c r="A19" s="338" t="s">
        <v>47</v>
      </c>
      <c r="B19" s="339" t="s">
        <v>48</v>
      </c>
      <c r="C19" s="36">
        <v>216000</v>
      </c>
      <c r="D19" s="118">
        <v>210000</v>
      </c>
      <c r="E19" s="36">
        <f t="shared" si="1"/>
        <v>42000</v>
      </c>
      <c r="F19" s="37">
        <v>252000</v>
      </c>
      <c r="G19" s="37">
        <v>294000</v>
      </c>
      <c r="H19" s="377"/>
      <c r="I19" s="377"/>
      <c r="J19" s="377"/>
      <c r="K19" s="377"/>
      <c r="L19" s="377"/>
      <c r="M19" s="377"/>
      <c r="N19" s="377"/>
      <c r="O19" s="377"/>
      <c r="P19" s="377"/>
      <c r="Q19" s="377"/>
      <c r="R19" s="377"/>
      <c r="S19" s="377"/>
      <c r="T19" s="377"/>
      <c r="U19" s="377"/>
      <c r="V19" s="377"/>
      <c r="W19" s="377"/>
      <c r="X19" s="377"/>
      <c r="Y19" s="377"/>
      <c r="Z19" s="377"/>
    </row>
    <row r="20" spans="1:26" ht="18" customHeight="1">
      <c r="A20" s="338" t="s">
        <v>49</v>
      </c>
      <c r="B20" s="339" t="s">
        <v>50</v>
      </c>
      <c r="C20" s="118">
        <v>175000</v>
      </c>
      <c r="D20" s="118">
        <v>0</v>
      </c>
      <c r="E20" s="36">
        <f t="shared" si="1"/>
        <v>210000</v>
      </c>
      <c r="F20" s="37">
        <v>210000</v>
      </c>
      <c r="G20" s="37">
        <v>210000</v>
      </c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2"/>
      <c r="S20" s="312"/>
      <c r="T20" s="312"/>
      <c r="U20" s="312"/>
      <c r="V20" s="312"/>
      <c r="W20" s="312"/>
      <c r="X20" s="312"/>
      <c r="Y20" s="312"/>
      <c r="Z20" s="312"/>
    </row>
    <row r="21" spans="1:26" ht="18" customHeight="1">
      <c r="A21" s="338" t="s">
        <v>53</v>
      </c>
      <c r="B21" s="339" t="s">
        <v>54</v>
      </c>
      <c r="C21" s="36">
        <v>661624.05000000005</v>
      </c>
      <c r="D21" s="118">
        <v>0</v>
      </c>
      <c r="E21" s="36">
        <f t="shared" si="1"/>
        <v>889378</v>
      </c>
      <c r="F21" s="37">
        <v>889378</v>
      </c>
      <c r="G21" s="37">
        <v>967124</v>
      </c>
      <c r="H21" s="377"/>
      <c r="I21" s="377"/>
      <c r="J21" s="377"/>
      <c r="K21" s="377"/>
      <c r="L21" s="377"/>
      <c r="M21" s="377"/>
      <c r="N21" s="377"/>
      <c r="O21" s="377"/>
      <c r="P21" s="377"/>
      <c r="Q21" s="377"/>
      <c r="R21" s="377"/>
      <c r="S21" s="377"/>
      <c r="T21" s="377"/>
      <c r="U21" s="377"/>
      <c r="V21" s="377"/>
      <c r="W21" s="377"/>
      <c r="X21" s="377"/>
      <c r="Y21" s="377"/>
      <c r="Z21" s="377"/>
    </row>
    <row r="22" spans="1:26" ht="18" customHeight="1">
      <c r="A22" s="338" t="s">
        <v>55</v>
      </c>
      <c r="B22" s="339" t="s">
        <v>56</v>
      </c>
      <c r="C22" s="36">
        <v>181750</v>
      </c>
      <c r="D22" s="118">
        <v>0</v>
      </c>
      <c r="E22" s="36">
        <f t="shared" si="1"/>
        <v>210000</v>
      </c>
      <c r="F22" s="37">
        <v>210000</v>
      </c>
      <c r="G22" s="37">
        <v>210000</v>
      </c>
      <c r="H22" s="377"/>
      <c r="I22" s="377"/>
      <c r="J22" s="377"/>
      <c r="K22" s="377"/>
      <c r="L22" s="377"/>
      <c r="M22" s="377"/>
      <c r="N22" s="377"/>
      <c r="O22" s="377"/>
      <c r="P22" s="377"/>
      <c r="Q22" s="377"/>
      <c r="R22" s="377"/>
      <c r="S22" s="377"/>
      <c r="T22" s="377"/>
      <c r="U22" s="377"/>
      <c r="V22" s="377"/>
      <c r="W22" s="377"/>
      <c r="X22" s="377"/>
      <c r="Y22" s="377"/>
      <c r="Z22" s="377"/>
    </row>
    <row r="23" spans="1:26" ht="18" customHeight="1">
      <c r="A23" s="338" t="s">
        <v>57</v>
      </c>
      <c r="B23" s="339" t="s">
        <v>58</v>
      </c>
      <c r="C23" s="36">
        <v>662315</v>
      </c>
      <c r="D23" s="36">
        <v>709831</v>
      </c>
      <c r="E23" s="36">
        <f t="shared" si="1"/>
        <v>179547</v>
      </c>
      <c r="F23" s="37">
        <v>889378</v>
      </c>
      <c r="G23" s="37">
        <v>928119</v>
      </c>
      <c r="H23" s="377"/>
      <c r="I23" s="377"/>
      <c r="J23" s="377"/>
      <c r="K23" s="377"/>
      <c r="L23" s="377"/>
      <c r="M23" s="377"/>
      <c r="N23" s="377"/>
      <c r="O23" s="377"/>
      <c r="P23" s="377"/>
      <c r="Q23" s="377"/>
      <c r="R23" s="377"/>
      <c r="S23" s="377"/>
      <c r="T23" s="377"/>
      <c r="U23" s="377"/>
      <c r="V23" s="377"/>
      <c r="W23" s="377"/>
      <c r="X23" s="377"/>
      <c r="Y23" s="377"/>
      <c r="Z23" s="377"/>
    </row>
    <row r="24" spans="1:26" ht="18" customHeight="1">
      <c r="A24" s="338" t="s">
        <v>557</v>
      </c>
      <c r="B24" s="339" t="s">
        <v>58</v>
      </c>
      <c r="C24" s="118">
        <v>0</v>
      </c>
      <c r="D24" s="118">
        <v>0</v>
      </c>
      <c r="E24" s="118">
        <v>0</v>
      </c>
      <c r="F24" s="384">
        <v>0</v>
      </c>
      <c r="G24" s="37">
        <v>294000</v>
      </c>
      <c r="H24" s="377"/>
      <c r="I24" s="377"/>
      <c r="J24" s="377"/>
      <c r="K24" s="377"/>
      <c r="L24" s="377"/>
      <c r="M24" s="377"/>
      <c r="N24" s="377"/>
      <c r="O24" s="377"/>
      <c r="P24" s="377"/>
      <c r="Q24" s="377"/>
      <c r="R24" s="377"/>
      <c r="S24" s="377"/>
      <c r="T24" s="377"/>
      <c r="U24" s="377"/>
      <c r="V24" s="377"/>
      <c r="W24" s="377"/>
      <c r="X24" s="377"/>
      <c r="Y24" s="377"/>
      <c r="Z24" s="377"/>
    </row>
    <row r="25" spans="1:26" ht="18" customHeight="1">
      <c r="A25" s="340" t="s">
        <v>59</v>
      </c>
      <c r="B25" s="339"/>
      <c r="C25" s="36"/>
      <c r="D25" s="36"/>
      <c r="E25" s="36"/>
      <c r="F25" s="37"/>
      <c r="G25" s="37"/>
      <c r="H25" s="377"/>
      <c r="I25" s="377"/>
      <c r="J25" s="377"/>
      <c r="K25" s="377"/>
      <c r="L25" s="377"/>
      <c r="M25" s="377"/>
      <c r="N25" s="377"/>
      <c r="O25" s="377"/>
      <c r="P25" s="377"/>
      <c r="Q25" s="377"/>
      <c r="R25" s="377"/>
      <c r="S25" s="377"/>
      <c r="T25" s="377"/>
      <c r="U25" s="377"/>
      <c r="V25" s="377"/>
      <c r="W25" s="377"/>
      <c r="X25" s="377"/>
      <c r="Y25" s="377"/>
      <c r="Z25" s="377"/>
    </row>
    <row r="26" spans="1:26" ht="18" customHeight="1">
      <c r="A26" s="338" t="s">
        <v>60</v>
      </c>
      <c r="B26" s="339" t="s">
        <v>61</v>
      </c>
      <c r="C26" s="36">
        <v>948703.77</v>
      </c>
      <c r="D26" s="36">
        <v>520552.78</v>
      </c>
      <c r="E26" s="36">
        <f t="shared" ref="E26:E29" si="2">F26-D26</f>
        <v>760151.54</v>
      </c>
      <c r="F26" s="37">
        <v>1280704.32</v>
      </c>
      <c r="G26" s="37">
        <v>1359894.36</v>
      </c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7"/>
      <c r="U26" s="377"/>
      <c r="V26" s="377"/>
      <c r="W26" s="377"/>
      <c r="X26" s="377"/>
      <c r="Y26" s="377"/>
      <c r="Z26" s="377"/>
    </row>
    <row r="27" spans="1:26" ht="18" customHeight="1">
      <c r="A27" s="338" t="s">
        <v>62</v>
      </c>
      <c r="B27" s="339" t="s">
        <v>63</v>
      </c>
      <c r="C27" s="36">
        <v>43400</v>
      </c>
      <c r="D27" s="36">
        <v>40600</v>
      </c>
      <c r="E27" s="36">
        <f t="shared" si="2"/>
        <v>9800</v>
      </c>
      <c r="F27" s="37">
        <v>50400</v>
      </c>
      <c r="G27" s="37">
        <v>100800</v>
      </c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  <c r="Y27" s="377"/>
      <c r="Z27" s="377"/>
    </row>
    <row r="28" spans="1:26" ht="18" customHeight="1">
      <c r="A28" s="338" t="s">
        <v>64</v>
      </c>
      <c r="B28" s="339" t="s">
        <v>65</v>
      </c>
      <c r="C28" s="36">
        <v>156285.9</v>
      </c>
      <c r="D28" s="36">
        <v>115032.5</v>
      </c>
      <c r="E28" s="36">
        <f t="shared" si="2"/>
        <v>125079.82</v>
      </c>
      <c r="F28" s="37">
        <v>240112.32</v>
      </c>
      <c r="G28" s="37">
        <v>283311.33</v>
      </c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</row>
    <row r="29" spans="1:26" ht="18" customHeight="1">
      <c r="A29" s="341" t="s">
        <v>66</v>
      </c>
      <c r="B29" s="342" t="s">
        <v>67</v>
      </c>
      <c r="C29" s="72">
        <v>43400</v>
      </c>
      <c r="D29" s="72">
        <v>22100</v>
      </c>
      <c r="E29" s="72">
        <f t="shared" si="2"/>
        <v>28300</v>
      </c>
      <c r="F29" s="123">
        <v>50400</v>
      </c>
      <c r="G29" s="123">
        <v>50400</v>
      </c>
      <c r="H29" s="377"/>
      <c r="I29" s="377"/>
      <c r="J29" s="377"/>
      <c r="K29" s="377"/>
      <c r="L29" s="377"/>
      <c r="M29" s="377"/>
      <c r="N29" s="377"/>
      <c r="O29" s="377"/>
      <c r="P29" s="377"/>
      <c r="Q29" s="377"/>
      <c r="R29" s="377"/>
      <c r="S29" s="377"/>
      <c r="T29" s="377"/>
      <c r="U29" s="377"/>
      <c r="V29" s="377"/>
      <c r="W29" s="377"/>
      <c r="X29" s="377"/>
      <c r="Y29" s="377"/>
      <c r="Z29" s="377"/>
    </row>
    <row r="30" spans="1:26" ht="18" customHeight="1">
      <c r="A30" s="340" t="s">
        <v>68</v>
      </c>
      <c r="B30" s="344"/>
      <c r="C30" s="129"/>
      <c r="D30" s="129"/>
      <c r="E30" s="129"/>
      <c r="F30" s="121"/>
      <c r="G30" s="121"/>
      <c r="H30" s="377"/>
      <c r="I30" s="377"/>
      <c r="J30" s="377"/>
      <c r="K30" s="377"/>
      <c r="L30" s="377"/>
      <c r="M30" s="377"/>
      <c r="N30" s="377"/>
      <c r="O30" s="377"/>
      <c r="P30" s="377"/>
      <c r="Q30" s="377"/>
      <c r="R30" s="377"/>
      <c r="S30" s="377"/>
      <c r="T30" s="377"/>
      <c r="U30" s="377"/>
      <c r="V30" s="377"/>
      <c r="W30" s="377"/>
      <c r="X30" s="377"/>
      <c r="Y30" s="377"/>
      <c r="Z30" s="377"/>
    </row>
    <row r="31" spans="1:26" ht="18" customHeight="1" thickBot="1">
      <c r="A31" s="338" t="s">
        <v>558</v>
      </c>
      <c r="B31" s="347" t="s">
        <v>58</v>
      </c>
      <c r="C31" s="118">
        <v>0</v>
      </c>
      <c r="D31" s="118">
        <v>0</v>
      </c>
      <c r="E31" s="118">
        <v>0</v>
      </c>
      <c r="F31" s="384">
        <v>0</v>
      </c>
      <c r="G31" s="49">
        <v>455117.92</v>
      </c>
      <c r="H31" s="377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377"/>
      <c r="V31" s="377"/>
      <c r="W31" s="377"/>
      <c r="X31" s="377"/>
      <c r="Y31" s="377"/>
      <c r="Z31" s="377"/>
    </row>
    <row r="32" spans="1:26" ht="19.5" customHeight="1" thickTop="1" thickBot="1">
      <c r="A32" s="351" t="s">
        <v>71</v>
      </c>
      <c r="B32" s="352"/>
      <c r="C32" s="75">
        <f t="shared" ref="C32:F32" si="3">SUM(C13:C29)</f>
        <v>12041650.970000001</v>
      </c>
      <c r="D32" s="75">
        <f t="shared" si="3"/>
        <v>6463142.46</v>
      </c>
      <c r="E32" s="75">
        <f t="shared" si="3"/>
        <v>9469766.1799999997</v>
      </c>
      <c r="F32" s="75">
        <f t="shared" si="3"/>
        <v>15932908.640000001</v>
      </c>
      <c r="G32" s="77">
        <f>SUM(G13:G31)</f>
        <v>17697219.609999999</v>
      </c>
      <c r="H32" s="377"/>
      <c r="I32" s="377"/>
      <c r="J32" s="377"/>
      <c r="K32" s="377"/>
      <c r="L32" s="377"/>
      <c r="M32" s="377"/>
      <c r="N32" s="377"/>
      <c r="O32" s="377"/>
      <c r="P32" s="377"/>
      <c r="Q32" s="377"/>
      <c r="R32" s="377"/>
      <c r="S32" s="377"/>
      <c r="T32" s="377"/>
      <c r="U32" s="377"/>
      <c r="V32" s="377"/>
      <c r="W32" s="377"/>
      <c r="X32" s="377"/>
      <c r="Y32" s="377"/>
      <c r="Z32" s="377"/>
    </row>
    <row r="33" spans="1:26" ht="18.75" customHeight="1" thickTop="1">
      <c r="A33" s="355" t="s">
        <v>72</v>
      </c>
      <c r="B33" s="356"/>
      <c r="C33" s="249"/>
      <c r="D33" s="249"/>
      <c r="E33" s="249"/>
      <c r="F33" s="120"/>
      <c r="G33" s="218"/>
      <c r="H33" s="377"/>
      <c r="I33" s="377"/>
      <c r="J33" s="377"/>
      <c r="K33" s="377"/>
      <c r="L33" s="377"/>
      <c r="M33" s="377"/>
      <c r="N33" s="377"/>
      <c r="O33" s="377"/>
      <c r="P33" s="377"/>
      <c r="Q33" s="377"/>
      <c r="R33" s="377"/>
      <c r="S33" s="377"/>
      <c r="T33" s="377"/>
      <c r="U33" s="377"/>
      <c r="V33" s="377"/>
      <c r="W33" s="377"/>
      <c r="X33" s="377"/>
      <c r="Y33" s="377"/>
      <c r="Z33" s="377"/>
    </row>
    <row r="34" spans="1:26" ht="18.75" customHeight="1">
      <c r="A34" s="359" t="s">
        <v>75</v>
      </c>
      <c r="B34" s="356" t="s">
        <v>76</v>
      </c>
      <c r="C34" s="118">
        <v>0</v>
      </c>
      <c r="D34" s="118">
        <v>0</v>
      </c>
      <c r="E34" s="118">
        <v>0</v>
      </c>
      <c r="F34" s="384">
        <v>0</v>
      </c>
      <c r="G34" s="80">
        <v>300000</v>
      </c>
      <c r="H34" s="377"/>
      <c r="I34" s="377"/>
      <c r="J34" s="377"/>
      <c r="K34" s="377"/>
      <c r="L34" s="377"/>
      <c r="M34" s="377"/>
      <c r="N34" s="377"/>
      <c r="O34" s="377"/>
      <c r="P34" s="377"/>
      <c r="Q34" s="377"/>
      <c r="R34" s="377"/>
      <c r="S34" s="377"/>
      <c r="T34" s="377"/>
      <c r="U34" s="377"/>
      <c r="V34" s="377"/>
      <c r="W34" s="377"/>
      <c r="X34" s="377"/>
      <c r="Y34" s="377"/>
      <c r="Z34" s="377"/>
    </row>
    <row r="35" spans="1:26" ht="18" customHeight="1">
      <c r="A35" s="359" t="s">
        <v>195</v>
      </c>
      <c r="B35" s="360" t="s">
        <v>196</v>
      </c>
      <c r="C35" s="36">
        <v>583100</v>
      </c>
      <c r="D35" s="56">
        <v>498200</v>
      </c>
      <c r="E35" s="36">
        <f t="shared" ref="E35:E38" si="4">F35-D35</f>
        <v>1800</v>
      </c>
      <c r="F35" s="37">
        <v>500000</v>
      </c>
      <c r="G35" s="37">
        <v>900000</v>
      </c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7"/>
      <c r="T35" s="377"/>
      <c r="U35" s="377"/>
      <c r="V35" s="377"/>
      <c r="W35" s="377"/>
      <c r="X35" s="377"/>
      <c r="Y35" s="377"/>
      <c r="Z35" s="377"/>
    </row>
    <row r="36" spans="1:26" ht="18" customHeight="1">
      <c r="A36" s="359" t="s">
        <v>646</v>
      </c>
      <c r="B36" s="360" t="s">
        <v>80</v>
      </c>
      <c r="C36" s="118">
        <v>0</v>
      </c>
      <c r="D36" s="118">
        <v>0</v>
      </c>
      <c r="E36" s="118">
        <v>0</v>
      </c>
      <c r="F36" s="384">
        <v>0</v>
      </c>
      <c r="G36" s="37">
        <v>1500000</v>
      </c>
      <c r="H36" s="377"/>
      <c r="I36" s="377"/>
      <c r="J36" s="377"/>
      <c r="K36" s="377"/>
      <c r="L36" s="377"/>
      <c r="M36" s="377"/>
      <c r="N36" s="377"/>
      <c r="O36" s="377"/>
      <c r="P36" s="377"/>
      <c r="Q36" s="377"/>
      <c r="R36" s="377"/>
      <c r="S36" s="377"/>
      <c r="T36" s="377"/>
      <c r="U36" s="377"/>
      <c r="V36" s="377"/>
      <c r="W36" s="377"/>
      <c r="X36" s="377"/>
      <c r="Y36" s="377"/>
      <c r="Z36" s="377"/>
    </row>
    <row r="37" spans="1:26" ht="18" customHeight="1">
      <c r="A37" s="359" t="s">
        <v>81</v>
      </c>
      <c r="B37" s="360" t="s">
        <v>647</v>
      </c>
      <c r="C37" s="118">
        <v>0</v>
      </c>
      <c r="D37" s="118">
        <v>0</v>
      </c>
      <c r="E37" s="118">
        <v>0</v>
      </c>
      <c r="F37" s="384">
        <v>0</v>
      </c>
      <c r="G37" s="37">
        <v>2985800</v>
      </c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</row>
    <row r="38" spans="1:26" ht="18" customHeight="1">
      <c r="A38" s="359" t="s">
        <v>197</v>
      </c>
      <c r="B38" s="360" t="s">
        <v>198</v>
      </c>
      <c r="C38" s="36">
        <v>27340000</v>
      </c>
      <c r="D38" s="385">
        <v>23027029.620000001</v>
      </c>
      <c r="E38" s="118">
        <f t="shared" si="4"/>
        <v>25284970.379999999</v>
      </c>
      <c r="F38" s="37">
        <v>48312000</v>
      </c>
      <c r="G38" s="37">
        <v>12771000</v>
      </c>
      <c r="H38" s="377"/>
      <c r="I38" s="377"/>
      <c r="J38" s="377"/>
      <c r="K38" s="377"/>
      <c r="L38" s="377"/>
      <c r="M38" s="377"/>
      <c r="N38" s="377"/>
      <c r="O38" s="377"/>
      <c r="P38" s="377"/>
      <c r="Q38" s="377"/>
      <c r="R38" s="377"/>
      <c r="S38" s="377"/>
      <c r="T38" s="377"/>
      <c r="U38" s="377"/>
      <c r="V38" s="377"/>
      <c r="W38" s="377"/>
      <c r="X38" s="377"/>
      <c r="Y38" s="377"/>
      <c r="Z38" s="377"/>
    </row>
    <row r="39" spans="1:26" ht="18" customHeight="1">
      <c r="A39" s="364" t="s">
        <v>199</v>
      </c>
      <c r="B39" s="360" t="s">
        <v>200</v>
      </c>
      <c r="C39" s="118">
        <v>0</v>
      </c>
      <c r="D39" s="118">
        <v>0</v>
      </c>
      <c r="E39" s="118">
        <v>0</v>
      </c>
      <c r="F39" s="384">
        <v>0</v>
      </c>
      <c r="G39" s="37">
        <v>12771000</v>
      </c>
      <c r="H39" s="377"/>
      <c r="I39" s="377"/>
      <c r="J39" s="377"/>
      <c r="K39" s="377"/>
      <c r="L39" s="377"/>
      <c r="M39" s="377"/>
      <c r="N39" s="377"/>
      <c r="O39" s="377"/>
      <c r="P39" s="377"/>
      <c r="Q39" s="377"/>
      <c r="R39" s="377"/>
      <c r="S39" s="377"/>
      <c r="T39" s="377"/>
      <c r="U39" s="377"/>
      <c r="V39" s="377"/>
      <c r="W39" s="377"/>
      <c r="X39" s="377"/>
      <c r="Y39" s="377"/>
      <c r="Z39" s="377"/>
    </row>
    <row r="40" spans="1:26" ht="18" customHeight="1">
      <c r="A40" s="364" t="s">
        <v>276</v>
      </c>
      <c r="B40" s="360" t="s">
        <v>256</v>
      </c>
      <c r="C40" s="118">
        <v>0</v>
      </c>
      <c r="D40" s="118">
        <v>0</v>
      </c>
      <c r="E40" s="118">
        <v>0</v>
      </c>
      <c r="F40" s="384">
        <v>0</v>
      </c>
      <c r="G40" s="37">
        <v>500000</v>
      </c>
      <c r="H40" s="377"/>
      <c r="I40" s="377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</row>
    <row r="41" spans="1:26" ht="18" customHeight="1" thickBot="1">
      <c r="A41" s="364" t="s">
        <v>233</v>
      </c>
      <c r="B41" s="360" t="s">
        <v>200</v>
      </c>
      <c r="C41" s="36">
        <v>853319</v>
      </c>
      <c r="D41" s="36"/>
      <c r="E41" s="118"/>
      <c r="F41" s="37"/>
      <c r="G41" s="37"/>
      <c r="H41" s="377"/>
      <c r="I41" s="377"/>
      <c r="J41" s="377"/>
      <c r="K41" s="377"/>
      <c r="L41" s="377"/>
      <c r="M41" s="377"/>
      <c r="N41" s="377"/>
      <c r="O41" s="377"/>
      <c r="P41" s="377"/>
      <c r="Q41" s="377"/>
      <c r="R41" s="377"/>
      <c r="S41" s="377"/>
      <c r="T41" s="377"/>
      <c r="U41" s="377"/>
      <c r="V41" s="377"/>
      <c r="W41" s="377"/>
      <c r="X41" s="377"/>
      <c r="Y41" s="377"/>
      <c r="Z41" s="377"/>
    </row>
    <row r="42" spans="1:26" ht="19.5" customHeight="1" thickTop="1" thickBot="1">
      <c r="A42" s="351" t="s">
        <v>162</v>
      </c>
      <c r="B42" s="367"/>
      <c r="C42" s="75">
        <f>SUM(C35:C41)</f>
        <v>28776419</v>
      </c>
      <c r="D42" s="75">
        <f>SUM(D35:D41)</f>
        <v>23525229.620000001</v>
      </c>
      <c r="E42" s="75">
        <f>SUM(E35:E41)</f>
        <v>25286770.379999999</v>
      </c>
      <c r="F42" s="75">
        <f>SUM(F35:F41)</f>
        <v>48812000</v>
      </c>
      <c r="G42" s="77">
        <f>SUM(G34:G41)</f>
        <v>31727800</v>
      </c>
      <c r="H42" s="377"/>
      <c r="I42" s="377"/>
      <c r="J42" s="386"/>
      <c r="K42" s="377"/>
      <c r="L42" s="386"/>
      <c r="M42" s="377"/>
      <c r="N42" s="377"/>
      <c r="O42" s="377"/>
      <c r="P42" s="377"/>
      <c r="Q42" s="377"/>
      <c r="R42" s="377"/>
      <c r="S42" s="377"/>
      <c r="T42" s="377"/>
      <c r="U42" s="377"/>
      <c r="V42" s="377"/>
      <c r="W42" s="377"/>
      <c r="X42" s="377"/>
      <c r="Y42" s="377"/>
      <c r="Z42" s="377"/>
    </row>
    <row r="43" spans="1:26" ht="18.75" hidden="1" customHeight="1">
      <c r="A43" s="324" t="s">
        <v>163</v>
      </c>
      <c r="B43" s="387"/>
      <c r="C43" s="216"/>
      <c r="D43" s="216"/>
      <c r="E43" s="216"/>
      <c r="F43" s="280"/>
      <c r="G43" s="217"/>
      <c r="H43" s="377"/>
      <c r="I43" s="377"/>
      <c r="J43" s="377"/>
      <c r="K43" s="377"/>
      <c r="L43" s="377"/>
      <c r="M43" s="377"/>
      <c r="N43" s="377"/>
      <c r="O43" s="377"/>
      <c r="P43" s="377"/>
      <c r="Q43" s="377"/>
      <c r="R43" s="377"/>
      <c r="S43" s="377"/>
      <c r="T43" s="377"/>
      <c r="U43" s="377"/>
      <c r="V43" s="377"/>
      <c r="W43" s="377"/>
      <c r="X43" s="377"/>
      <c r="Y43" s="377"/>
      <c r="Z43" s="377"/>
    </row>
    <row r="44" spans="1:26" ht="18" hidden="1" customHeight="1" thickTop="1">
      <c r="A44" s="388" t="s">
        <v>201</v>
      </c>
      <c r="B44" s="389" t="s">
        <v>202</v>
      </c>
      <c r="C44" s="56">
        <v>0</v>
      </c>
      <c r="D44" s="56">
        <v>0</v>
      </c>
      <c r="E44" s="36">
        <f t="shared" ref="E44:E52" si="5">F44-D44</f>
        <v>0</v>
      </c>
      <c r="F44" s="36">
        <v>0</v>
      </c>
      <c r="G44" s="37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  <c r="S44" s="377"/>
      <c r="T44" s="377"/>
      <c r="U44" s="377"/>
      <c r="V44" s="377"/>
      <c r="W44" s="377"/>
      <c r="X44" s="377"/>
      <c r="Y44" s="377"/>
      <c r="Z44" s="377"/>
    </row>
    <row r="45" spans="1:26" ht="18" hidden="1" customHeight="1" thickTop="1">
      <c r="A45" s="390" t="s">
        <v>164</v>
      </c>
      <c r="B45" s="391" t="s">
        <v>165</v>
      </c>
      <c r="C45" s="36"/>
      <c r="D45" s="140">
        <v>0</v>
      </c>
      <c r="E45" s="36">
        <f t="shared" si="5"/>
        <v>0</v>
      </c>
      <c r="F45" s="392">
        <v>0</v>
      </c>
      <c r="G45" s="92"/>
      <c r="H45" s="376"/>
      <c r="I45" s="376"/>
      <c r="J45" s="376"/>
      <c r="K45" s="376"/>
      <c r="L45" s="376"/>
      <c r="M45" s="376"/>
      <c r="N45" s="376"/>
      <c r="O45" s="376"/>
      <c r="P45" s="376"/>
      <c r="Q45" s="376"/>
      <c r="R45" s="376"/>
      <c r="S45" s="376"/>
      <c r="T45" s="376"/>
      <c r="U45" s="376"/>
      <c r="V45" s="376"/>
      <c r="W45" s="376"/>
      <c r="X45" s="376"/>
      <c r="Y45" s="376"/>
      <c r="Z45" s="376"/>
    </row>
    <row r="46" spans="1:26" ht="18" hidden="1" customHeight="1" thickTop="1">
      <c r="A46" s="393" t="s">
        <v>203</v>
      </c>
      <c r="B46" s="394" t="s">
        <v>204</v>
      </c>
      <c r="C46" s="56">
        <v>0</v>
      </c>
      <c r="D46" s="56">
        <v>0</v>
      </c>
      <c r="E46" s="36">
        <f t="shared" si="5"/>
        <v>0</v>
      </c>
      <c r="F46" s="36">
        <v>0</v>
      </c>
      <c r="G46" s="37"/>
      <c r="H46" s="377"/>
      <c r="I46" s="377"/>
      <c r="J46" s="377"/>
      <c r="K46" s="377"/>
      <c r="L46" s="377"/>
      <c r="M46" s="377"/>
      <c r="N46" s="377"/>
      <c r="O46" s="377"/>
      <c r="P46" s="377"/>
      <c r="Q46" s="377"/>
      <c r="R46" s="377"/>
      <c r="S46" s="377"/>
      <c r="T46" s="377"/>
      <c r="U46" s="377"/>
      <c r="V46" s="377"/>
      <c r="W46" s="377"/>
      <c r="X46" s="377"/>
      <c r="Y46" s="377"/>
      <c r="Z46" s="377"/>
    </row>
    <row r="47" spans="1:26" ht="18" hidden="1" customHeight="1" thickTop="1">
      <c r="A47" s="388" t="s">
        <v>167</v>
      </c>
      <c r="B47" s="389" t="s">
        <v>168</v>
      </c>
      <c r="C47" s="56">
        <v>0</v>
      </c>
      <c r="D47" s="56">
        <v>0</v>
      </c>
      <c r="E47" s="36">
        <f t="shared" si="5"/>
        <v>0</v>
      </c>
      <c r="F47" s="36">
        <v>0</v>
      </c>
      <c r="G47" s="37"/>
      <c r="H47" s="377"/>
      <c r="I47" s="377"/>
      <c r="J47" s="377"/>
      <c r="K47" s="377"/>
      <c r="L47" s="377"/>
      <c r="M47" s="377"/>
      <c r="N47" s="377"/>
      <c r="O47" s="377"/>
      <c r="P47" s="377"/>
      <c r="Q47" s="377"/>
      <c r="R47" s="377"/>
      <c r="S47" s="377"/>
      <c r="T47" s="377"/>
      <c r="U47" s="377"/>
      <c r="V47" s="377"/>
      <c r="W47" s="377"/>
      <c r="X47" s="377"/>
      <c r="Y47" s="377"/>
      <c r="Z47" s="377"/>
    </row>
    <row r="48" spans="1:26" ht="15.75" hidden="1" customHeight="1" thickTop="1">
      <c r="A48" s="388" t="s">
        <v>205</v>
      </c>
      <c r="B48" s="389" t="s">
        <v>206</v>
      </c>
      <c r="C48" s="36">
        <v>0</v>
      </c>
      <c r="D48" s="36">
        <v>0</v>
      </c>
      <c r="E48" s="36">
        <f t="shared" si="5"/>
        <v>0</v>
      </c>
      <c r="F48" s="56">
        <v>0</v>
      </c>
      <c r="G48" s="84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  <c r="Z48" s="312"/>
    </row>
    <row r="49" spans="1:26" ht="18" hidden="1" customHeight="1" thickTop="1">
      <c r="A49" s="388" t="s">
        <v>207</v>
      </c>
      <c r="B49" s="389" t="s">
        <v>208</v>
      </c>
      <c r="C49" s="56">
        <v>0</v>
      </c>
      <c r="D49" s="56">
        <v>0</v>
      </c>
      <c r="E49" s="36">
        <f t="shared" si="5"/>
        <v>0</v>
      </c>
      <c r="F49" s="36">
        <v>0</v>
      </c>
      <c r="G49" s="3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/>
      <c r="Z49" s="377"/>
    </row>
    <row r="50" spans="1:26" ht="18" hidden="1" customHeight="1" thickTop="1">
      <c r="A50" s="393" t="s">
        <v>209</v>
      </c>
      <c r="B50" s="394" t="s">
        <v>210</v>
      </c>
      <c r="C50" s="36">
        <v>0</v>
      </c>
      <c r="D50" s="36">
        <v>0</v>
      </c>
      <c r="E50" s="36">
        <f t="shared" si="5"/>
        <v>0</v>
      </c>
      <c r="F50" s="36">
        <v>0</v>
      </c>
      <c r="G50" s="37"/>
      <c r="H50" s="377"/>
      <c r="I50" s="377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</row>
    <row r="51" spans="1:26" ht="18" hidden="1" customHeight="1" thickTop="1">
      <c r="A51" s="388" t="s">
        <v>169</v>
      </c>
      <c r="B51" s="389" t="s">
        <v>170</v>
      </c>
      <c r="C51" s="36">
        <v>0</v>
      </c>
      <c r="D51" s="56">
        <v>0</v>
      </c>
      <c r="E51" s="36">
        <f t="shared" si="5"/>
        <v>0</v>
      </c>
      <c r="F51" s="36">
        <v>0</v>
      </c>
      <c r="G51" s="37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</row>
    <row r="52" spans="1:26" ht="15.75" hidden="1" customHeight="1" thickTop="1">
      <c r="A52" s="388" t="s">
        <v>211</v>
      </c>
      <c r="B52" s="389" t="s">
        <v>212</v>
      </c>
      <c r="C52" s="36">
        <v>0</v>
      </c>
      <c r="D52" s="56">
        <v>0</v>
      </c>
      <c r="E52" s="36">
        <f t="shared" si="5"/>
        <v>0</v>
      </c>
      <c r="F52" s="73">
        <v>0</v>
      </c>
      <c r="G52" s="37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  <c r="Z52" s="312"/>
    </row>
    <row r="53" spans="1:26" ht="19.5" hidden="1" customHeight="1" thickTop="1">
      <c r="A53" s="351" t="s">
        <v>171</v>
      </c>
      <c r="B53" s="367"/>
      <c r="C53" s="75">
        <f t="shared" ref="C53:G53" si="6">SUM(C44:C52)</f>
        <v>0</v>
      </c>
      <c r="D53" s="75">
        <f t="shared" si="6"/>
        <v>0</v>
      </c>
      <c r="E53" s="75">
        <f t="shared" si="6"/>
        <v>0</v>
      </c>
      <c r="F53" s="75">
        <f t="shared" si="6"/>
        <v>0</v>
      </c>
      <c r="G53" s="75">
        <f t="shared" si="6"/>
        <v>0</v>
      </c>
      <c r="H53" s="377"/>
      <c r="I53" s="377"/>
      <c r="J53" s="377"/>
      <c r="K53" s="377"/>
      <c r="L53" s="377"/>
      <c r="M53" s="377"/>
      <c r="N53" s="377"/>
      <c r="O53" s="377"/>
      <c r="P53" s="377"/>
      <c r="Q53" s="377"/>
      <c r="R53" s="377"/>
      <c r="S53" s="377"/>
      <c r="T53" s="377"/>
      <c r="U53" s="377"/>
      <c r="V53" s="377"/>
      <c r="W53" s="377"/>
      <c r="X53" s="377"/>
      <c r="Y53" s="377"/>
      <c r="Z53" s="377"/>
    </row>
    <row r="54" spans="1:26" ht="19.5" customHeight="1" thickTop="1" thickBot="1">
      <c r="A54" s="351" t="s">
        <v>181</v>
      </c>
      <c r="B54" s="367"/>
      <c r="C54" s="75">
        <f>C53+C42+C32</f>
        <v>40818069.969999999</v>
      </c>
      <c r="D54" s="75">
        <f>D53+D42+D32</f>
        <v>29988372.080000002</v>
      </c>
      <c r="E54" s="75">
        <f>E53+E42+E32</f>
        <v>34756536.560000002</v>
      </c>
      <c r="F54" s="75">
        <f>F53+F42+F32</f>
        <v>64744908.640000001</v>
      </c>
      <c r="G54" s="75">
        <f>G53+G42+G32</f>
        <v>49425019.609999999</v>
      </c>
      <c r="H54" s="377"/>
      <c r="I54" s="377"/>
      <c r="J54" s="377"/>
      <c r="K54" s="377"/>
      <c r="L54" s="377"/>
      <c r="M54" s="377"/>
      <c r="N54" s="377"/>
      <c r="O54" s="377"/>
      <c r="P54" s="377"/>
      <c r="Q54" s="377"/>
      <c r="R54" s="377"/>
      <c r="S54" s="377"/>
      <c r="T54" s="377"/>
      <c r="U54" s="377"/>
      <c r="V54" s="377"/>
      <c r="W54" s="377"/>
      <c r="X54" s="377"/>
      <c r="Y54" s="377"/>
      <c r="Z54" s="377"/>
    </row>
    <row r="55" spans="1:26" ht="13.5" customHeight="1" thickTop="1">
      <c r="A55" s="317"/>
      <c r="B55" s="317"/>
      <c r="C55" s="317"/>
      <c r="D55" s="317"/>
      <c r="E55" s="317"/>
      <c r="F55" s="317"/>
      <c r="G55" s="317"/>
      <c r="H55" s="377"/>
      <c r="I55" s="377"/>
      <c r="J55" s="377"/>
      <c r="K55" s="377"/>
      <c r="L55" s="377"/>
      <c r="M55" s="377"/>
      <c r="N55" s="377"/>
      <c r="O55" s="377"/>
      <c r="P55" s="377"/>
      <c r="Q55" s="377"/>
      <c r="R55" s="377"/>
      <c r="S55" s="377"/>
      <c r="T55" s="377"/>
      <c r="U55" s="377"/>
      <c r="V55" s="377"/>
      <c r="W55" s="377"/>
      <c r="X55" s="377"/>
      <c r="Y55" s="377"/>
      <c r="Z55" s="377"/>
    </row>
    <row r="56" spans="1:26" ht="18" customHeight="1">
      <c r="A56" s="317"/>
      <c r="B56" s="318"/>
      <c r="C56" s="317"/>
      <c r="D56" s="317"/>
      <c r="E56" s="317"/>
      <c r="F56" s="317"/>
      <c r="G56" s="395"/>
      <c r="H56" s="377"/>
      <c r="I56" s="377"/>
      <c r="J56" s="377"/>
      <c r="K56" s="377"/>
      <c r="L56" s="377"/>
      <c r="M56" s="377"/>
      <c r="N56" s="377"/>
      <c r="O56" s="377"/>
      <c r="P56" s="377"/>
      <c r="Q56" s="377"/>
      <c r="R56" s="377"/>
      <c r="S56" s="377"/>
      <c r="T56" s="377"/>
      <c r="U56" s="377"/>
      <c r="V56" s="377"/>
      <c r="W56" s="377"/>
      <c r="X56" s="377"/>
      <c r="Y56" s="377"/>
      <c r="Z56" s="377"/>
    </row>
    <row r="57" spans="1:26" ht="18" customHeight="1">
      <c r="A57" s="317"/>
      <c r="B57" s="317"/>
      <c r="C57" s="317"/>
      <c r="D57" s="317"/>
      <c r="E57" s="317"/>
      <c r="F57" s="317"/>
      <c r="G57" s="395"/>
      <c r="H57" s="377"/>
      <c r="I57" s="377"/>
      <c r="J57" s="377"/>
      <c r="K57" s="377"/>
      <c r="L57" s="377"/>
      <c r="M57" s="377"/>
      <c r="N57" s="377"/>
      <c r="O57" s="377"/>
      <c r="P57" s="377"/>
      <c r="Q57" s="377"/>
      <c r="R57" s="377"/>
      <c r="S57" s="377"/>
      <c r="T57" s="377"/>
      <c r="U57" s="377"/>
      <c r="V57" s="377"/>
      <c r="W57" s="377"/>
      <c r="X57" s="377"/>
      <c r="Y57" s="377"/>
      <c r="Z57" s="377"/>
    </row>
    <row r="58" spans="1:26" ht="18" customHeight="1">
      <c r="A58" s="317"/>
      <c r="B58" s="317"/>
      <c r="C58" s="317"/>
      <c r="D58" s="317"/>
      <c r="E58" s="317"/>
      <c r="F58" s="317"/>
      <c r="G58" s="395"/>
      <c r="H58" s="377"/>
      <c r="I58" s="377"/>
      <c r="J58" s="377"/>
      <c r="K58" s="377"/>
      <c r="L58" s="377"/>
      <c r="M58" s="377"/>
      <c r="N58" s="377"/>
      <c r="O58" s="377"/>
      <c r="P58" s="377"/>
      <c r="Q58" s="377"/>
      <c r="R58" s="377"/>
      <c r="S58" s="377"/>
      <c r="T58" s="377"/>
      <c r="U58" s="377"/>
      <c r="V58" s="377"/>
      <c r="W58" s="377"/>
      <c r="X58" s="377"/>
      <c r="Y58" s="377"/>
      <c r="Z58" s="377"/>
    </row>
    <row r="59" spans="1:26" ht="20.25" customHeight="1">
      <c r="A59" s="317"/>
      <c r="B59" s="317"/>
      <c r="C59" s="317"/>
      <c r="D59" s="317"/>
      <c r="E59" s="317"/>
      <c r="F59" s="317"/>
      <c r="G59" s="317"/>
      <c r="H59" s="377"/>
      <c r="I59" s="377"/>
      <c r="J59" s="377"/>
      <c r="K59" s="377"/>
      <c r="L59" s="377"/>
      <c r="M59" s="377"/>
      <c r="N59" s="377"/>
      <c r="O59" s="377"/>
      <c r="P59" s="377"/>
      <c r="Q59" s="377"/>
      <c r="R59" s="377"/>
      <c r="S59" s="377"/>
      <c r="T59" s="377"/>
      <c r="U59" s="377"/>
      <c r="V59" s="377"/>
      <c r="W59" s="377"/>
      <c r="X59" s="377"/>
      <c r="Y59" s="377"/>
      <c r="Z59" s="377"/>
    </row>
    <row r="60" spans="1:26" ht="18" customHeight="1">
      <c r="A60" s="317"/>
      <c r="B60" s="317"/>
      <c r="C60" s="317"/>
      <c r="D60" s="317"/>
      <c r="E60" s="317"/>
      <c r="F60" s="317"/>
      <c r="G60" s="317"/>
      <c r="H60" s="377"/>
      <c r="I60" s="377"/>
      <c r="J60" s="377"/>
      <c r="K60" s="377"/>
      <c r="L60" s="377"/>
      <c r="M60" s="377"/>
      <c r="N60" s="377"/>
      <c r="O60" s="377"/>
      <c r="P60" s="377"/>
      <c r="Q60" s="377"/>
      <c r="R60" s="377"/>
      <c r="S60" s="377"/>
      <c r="T60" s="377"/>
      <c r="U60" s="377"/>
      <c r="V60" s="377"/>
      <c r="W60" s="377"/>
      <c r="X60" s="377"/>
      <c r="Y60" s="377"/>
      <c r="Z60" s="377"/>
    </row>
    <row r="61" spans="1:26" ht="18" customHeight="1">
      <c r="A61" s="309"/>
      <c r="B61" s="1239"/>
      <c r="C61" s="1236"/>
      <c r="D61" s="1236"/>
      <c r="E61" s="369"/>
      <c r="F61" s="1240"/>
      <c r="G61" s="1241"/>
      <c r="H61" s="377"/>
      <c r="I61" s="377"/>
      <c r="J61" s="377"/>
      <c r="K61" s="377"/>
      <c r="L61" s="377"/>
      <c r="M61" s="377"/>
      <c r="N61" s="377"/>
      <c r="O61" s="377"/>
      <c r="P61" s="377"/>
      <c r="Q61" s="377"/>
      <c r="R61" s="377"/>
      <c r="S61" s="377"/>
      <c r="T61" s="377"/>
      <c r="U61" s="377"/>
      <c r="V61" s="377"/>
      <c r="W61" s="377"/>
      <c r="X61" s="377"/>
      <c r="Y61" s="377"/>
      <c r="Z61" s="377"/>
    </row>
    <row r="62" spans="1:26" ht="18" customHeight="1">
      <c r="A62" s="371"/>
      <c r="B62" s="1235"/>
      <c r="C62" s="1236"/>
      <c r="D62" s="1236"/>
      <c r="E62" s="372"/>
      <c r="F62" s="1237"/>
      <c r="G62" s="1241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7"/>
      <c r="T62" s="377"/>
      <c r="U62" s="377"/>
      <c r="V62" s="377"/>
      <c r="W62" s="377"/>
      <c r="X62" s="377"/>
      <c r="Y62" s="377"/>
      <c r="Z62" s="377"/>
    </row>
    <row r="63" spans="1:26" ht="18" customHeight="1">
      <c r="A63" s="317"/>
      <c r="B63" s="317"/>
      <c r="C63" s="317"/>
      <c r="D63" s="317"/>
      <c r="E63" s="317"/>
      <c r="F63" s="317"/>
      <c r="G63" s="317"/>
      <c r="H63" s="377"/>
      <c r="I63" s="377"/>
      <c r="J63" s="377"/>
      <c r="K63" s="377"/>
      <c r="L63" s="377"/>
      <c r="M63" s="377"/>
      <c r="N63" s="377"/>
      <c r="O63" s="377"/>
      <c r="P63" s="377"/>
      <c r="Q63" s="377"/>
      <c r="R63" s="377"/>
      <c r="S63" s="377"/>
      <c r="T63" s="377"/>
      <c r="U63" s="377"/>
      <c r="V63" s="377"/>
      <c r="W63" s="377"/>
      <c r="X63" s="377"/>
      <c r="Y63" s="377"/>
      <c r="Z63" s="377"/>
    </row>
    <row r="64" spans="1:26" ht="18" customHeight="1">
      <c r="A64" s="317"/>
      <c r="B64" s="317"/>
      <c r="C64" s="317"/>
      <c r="D64" s="317"/>
      <c r="E64" s="317"/>
      <c r="F64" s="317"/>
      <c r="G64" s="317"/>
      <c r="H64" s="377"/>
      <c r="I64" s="377"/>
      <c r="J64" s="377"/>
      <c r="K64" s="377"/>
      <c r="L64" s="377"/>
      <c r="M64" s="377"/>
      <c r="N64" s="377"/>
      <c r="O64" s="377"/>
      <c r="P64" s="377"/>
      <c r="Q64" s="377"/>
      <c r="R64" s="377"/>
      <c r="S64" s="377"/>
      <c r="T64" s="377"/>
      <c r="U64" s="377"/>
      <c r="V64" s="377"/>
      <c r="W64" s="377"/>
      <c r="X64" s="377"/>
      <c r="Y64" s="377"/>
      <c r="Z64" s="377"/>
    </row>
    <row r="65" spans="1:26" ht="18" customHeight="1">
      <c r="A65" s="317"/>
      <c r="B65" s="317"/>
      <c r="C65" s="317"/>
      <c r="D65" s="317"/>
      <c r="E65" s="317"/>
      <c r="F65" s="317"/>
      <c r="G65" s="317"/>
      <c r="H65" s="377"/>
      <c r="I65" s="377"/>
      <c r="J65" s="377"/>
      <c r="K65" s="377"/>
      <c r="L65" s="377"/>
      <c r="M65" s="377"/>
      <c r="N65" s="377"/>
      <c r="O65" s="377"/>
      <c r="P65" s="377"/>
      <c r="Q65" s="377"/>
      <c r="R65" s="377"/>
      <c r="S65" s="377"/>
      <c r="T65" s="377"/>
      <c r="U65" s="377"/>
      <c r="V65" s="377"/>
      <c r="W65" s="377"/>
      <c r="X65" s="377"/>
      <c r="Y65" s="377"/>
      <c r="Z65" s="377"/>
    </row>
    <row r="66" spans="1:26" ht="18" customHeight="1">
      <c r="A66" s="317"/>
      <c r="B66" s="317"/>
      <c r="C66" s="317"/>
      <c r="D66" s="317"/>
      <c r="E66" s="317"/>
      <c r="F66" s="317"/>
      <c r="G66" s="317"/>
      <c r="H66" s="377"/>
      <c r="I66" s="377"/>
      <c r="J66" s="377"/>
      <c r="K66" s="377"/>
      <c r="L66" s="377"/>
      <c r="M66" s="377"/>
      <c r="N66" s="377"/>
      <c r="O66" s="377"/>
      <c r="P66" s="377"/>
      <c r="Q66" s="377"/>
      <c r="R66" s="377"/>
      <c r="S66" s="377"/>
      <c r="T66" s="377"/>
      <c r="U66" s="377"/>
      <c r="V66" s="377"/>
      <c r="W66" s="377"/>
      <c r="X66" s="377"/>
      <c r="Y66" s="377"/>
      <c r="Z66" s="377"/>
    </row>
    <row r="67" spans="1:26" ht="18" customHeight="1">
      <c r="A67" s="317"/>
      <c r="B67" s="317"/>
      <c r="C67" s="317"/>
      <c r="D67" s="317"/>
      <c r="E67" s="317"/>
      <c r="F67" s="317"/>
      <c r="G67" s="317"/>
      <c r="H67" s="377"/>
      <c r="I67" s="377"/>
      <c r="J67" s="377"/>
      <c r="K67" s="377"/>
      <c r="L67" s="377"/>
      <c r="M67" s="377"/>
      <c r="N67" s="377"/>
      <c r="O67" s="377"/>
      <c r="P67" s="377"/>
      <c r="Q67" s="377"/>
      <c r="R67" s="377"/>
      <c r="S67" s="377"/>
      <c r="T67" s="377"/>
      <c r="U67" s="377"/>
      <c r="V67" s="377"/>
      <c r="W67" s="377"/>
      <c r="X67" s="377"/>
      <c r="Y67" s="377"/>
      <c r="Z67" s="377"/>
    </row>
    <row r="68" spans="1:26" ht="18" customHeight="1">
      <c r="A68" s="317"/>
      <c r="B68" s="317"/>
      <c r="C68" s="317"/>
      <c r="D68" s="317"/>
      <c r="E68" s="317"/>
      <c r="F68" s="317"/>
      <c r="G68" s="317"/>
      <c r="H68" s="377"/>
      <c r="I68" s="377"/>
      <c r="J68" s="377"/>
      <c r="K68" s="377"/>
      <c r="L68" s="377"/>
      <c r="M68" s="377"/>
      <c r="N68" s="377"/>
      <c r="O68" s="377"/>
      <c r="P68" s="377"/>
      <c r="Q68" s="377"/>
      <c r="R68" s="377"/>
      <c r="S68" s="377"/>
      <c r="T68" s="377"/>
      <c r="U68" s="377"/>
      <c r="V68" s="377"/>
      <c r="W68" s="377"/>
      <c r="X68" s="377"/>
      <c r="Y68" s="377"/>
      <c r="Z68" s="377"/>
    </row>
    <row r="69" spans="1:26" ht="18" customHeight="1">
      <c r="A69" s="317" t="s">
        <v>183</v>
      </c>
      <c r="B69" s="317" t="s">
        <v>184</v>
      </c>
      <c r="C69" s="317"/>
      <c r="D69" s="317"/>
      <c r="E69" s="317"/>
      <c r="F69" s="317" t="s">
        <v>185</v>
      </c>
      <c r="G69" s="395"/>
      <c r="H69" s="377"/>
      <c r="I69" s="377"/>
      <c r="J69" s="377"/>
      <c r="K69" s="377"/>
      <c r="L69" s="377"/>
      <c r="M69" s="377"/>
      <c r="N69" s="377"/>
      <c r="O69" s="377"/>
      <c r="P69" s="377"/>
      <c r="Q69" s="377"/>
      <c r="R69" s="377"/>
      <c r="S69" s="377"/>
      <c r="T69" s="377"/>
      <c r="U69" s="377"/>
      <c r="V69" s="377"/>
      <c r="W69" s="377"/>
      <c r="X69" s="377"/>
      <c r="Y69" s="377"/>
      <c r="Z69" s="377"/>
    </row>
    <row r="70" spans="1:26" ht="18" customHeight="1">
      <c r="A70" s="317"/>
      <c r="B70" s="317"/>
      <c r="C70" s="317"/>
      <c r="D70" s="317"/>
      <c r="E70" s="317"/>
      <c r="F70" s="317"/>
      <c r="G70" s="395"/>
      <c r="H70" s="377"/>
      <c r="I70" s="377"/>
      <c r="J70" s="377"/>
      <c r="K70" s="377"/>
      <c r="L70" s="377"/>
      <c r="M70" s="377"/>
      <c r="N70" s="377"/>
      <c r="O70" s="377"/>
      <c r="P70" s="377"/>
      <c r="Q70" s="377"/>
      <c r="R70" s="377"/>
      <c r="S70" s="377"/>
      <c r="T70" s="377"/>
      <c r="U70" s="377"/>
      <c r="V70" s="377"/>
      <c r="W70" s="377"/>
      <c r="X70" s="377"/>
      <c r="Y70" s="377"/>
      <c r="Z70" s="377"/>
    </row>
    <row r="71" spans="1:26" ht="18" customHeight="1">
      <c r="A71" s="317"/>
      <c r="B71" s="317"/>
      <c r="C71" s="317"/>
      <c r="D71" s="317"/>
      <c r="E71" s="317"/>
      <c r="F71" s="317"/>
      <c r="G71" s="395"/>
      <c r="H71" s="377"/>
      <c r="I71" s="377"/>
      <c r="J71" s="377"/>
      <c r="K71" s="377"/>
      <c r="L71" s="377"/>
      <c r="M71" s="377"/>
      <c r="N71" s="377"/>
      <c r="O71" s="377"/>
      <c r="P71" s="377"/>
      <c r="Q71" s="377"/>
      <c r="R71" s="377"/>
      <c r="S71" s="377"/>
      <c r="T71" s="377"/>
      <c r="U71" s="377"/>
      <c r="V71" s="377"/>
      <c r="W71" s="377"/>
      <c r="X71" s="377"/>
      <c r="Y71" s="377"/>
      <c r="Z71" s="377"/>
    </row>
    <row r="72" spans="1:26" ht="18" customHeight="1">
      <c r="A72" s="317"/>
      <c r="B72" s="317"/>
      <c r="C72" s="317"/>
      <c r="D72" s="317"/>
      <c r="E72" s="317"/>
      <c r="F72" s="317"/>
      <c r="G72" s="395"/>
      <c r="H72" s="377"/>
      <c r="I72" s="377"/>
      <c r="J72" s="377"/>
      <c r="K72" s="377"/>
      <c r="L72" s="377"/>
      <c r="M72" s="377"/>
      <c r="N72" s="377"/>
      <c r="O72" s="377"/>
      <c r="P72" s="377"/>
      <c r="Q72" s="377"/>
      <c r="R72" s="377"/>
      <c r="S72" s="377"/>
      <c r="T72" s="377"/>
      <c r="U72" s="377"/>
      <c r="V72" s="377"/>
      <c r="W72" s="377"/>
      <c r="X72" s="377"/>
      <c r="Y72" s="377"/>
      <c r="Z72" s="377"/>
    </row>
    <row r="73" spans="1:26" ht="18" customHeight="1">
      <c r="A73" s="317"/>
      <c r="B73" s="317"/>
      <c r="C73" s="317"/>
      <c r="D73" s="317"/>
      <c r="E73" s="317"/>
      <c r="F73" s="317"/>
      <c r="G73" s="395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377"/>
      <c r="T73" s="377"/>
      <c r="U73" s="377"/>
      <c r="V73" s="377"/>
      <c r="W73" s="377"/>
      <c r="X73" s="377"/>
      <c r="Y73" s="377"/>
      <c r="Z73" s="377"/>
    </row>
    <row r="74" spans="1:26" ht="20.25" customHeight="1">
      <c r="A74" s="317"/>
      <c r="B74" s="317"/>
      <c r="C74" s="317"/>
      <c r="D74" s="317"/>
      <c r="E74" s="317"/>
      <c r="F74" s="317"/>
      <c r="G74" s="317"/>
      <c r="H74" s="377"/>
      <c r="I74" s="377"/>
      <c r="J74" s="377"/>
      <c r="K74" s="377"/>
      <c r="L74" s="377"/>
      <c r="M74" s="377"/>
      <c r="N74" s="377"/>
      <c r="O74" s="377"/>
      <c r="P74" s="377"/>
      <c r="Q74" s="377"/>
      <c r="R74" s="377"/>
      <c r="S74" s="377"/>
      <c r="T74" s="377"/>
      <c r="U74" s="377"/>
      <c r="V74" s="377"/>
      <c r="W74" s="377"/>
      <c r="X74" s="377"/>
      <c r="Y74" s="377"/>
      <c r="Z74" s="377"/>
    </row>
    <row r="75" spans="1:26" ht="18" customHeight="1">
      <c r="A75" s="317"/>
      <c r="B75" s="317"/>
      <c r="C75" s="317"/>
      <c r="D75" s="317"/>
      <c r="E75" s="317"/>
      <c r="F75" s="317"/>
      <c r="G75" s="317"/>
      <c r="H75" s="377"/>
      <c r="I75" s="377"/>
      <c r="J75" s="377"/>
      <c r="K75" s="377"/>
      <c r="L75" s="377"/>
      <c r="M75" s="377"/>
      <c r="N75" s="377"/>
      <c r="O75" s="377"/>
      <c r="P75" s="377"/>
      <c r="Q75" s="377"/>
      <c r="R75" s="377"/>
      <c r="S75" s="377"/>
      <c r="T75" s="377"/>
      <c r="U75" s="377"/>
      <c r="V75" s="377"/>
      <c r="W75" s="377"/>
      <c r="X75" s="377"/>
      <c r="Y75" s="377"/>
      <c r="Z75" s="377"/>
    </row>
    <row r="76" spans="1:26" ht="18" customHeight="1">
      <c r="A76" s="309" t="s">
        <v>213</v>
      </c>
      <c r="B76" s="1239" t="s">
        <v>187</v>
      </c>
      <c r="C76" s="1236"/>
      <c r="D76" s="1236"/>
      <c r="E76" s="369"/>
      <c r="F76" s="1240" t="s">
        <v>188</v>
      </c>
      <c r="G76" s="1241"/>
      <c r="H76" s="377"/>
      <c r="I76" s="377"/>
      <c r="J76" s="377"/>
      <c r="K76" s="377"/>
      <c r="L76" s="377"/>
      <c r="M76" s="377"/>
      <c r="N76" s="377"/>
      <c r="O76" s="377"/>
      <c r="P76" s="377"/>
      <c r="Q76" s="377"/>
      <c r="R76" s="377"/>
      <c r="S76" s="377"/>
      <c r="T76" s="377"/>
      <c r="U76" s="377"/>
      <c r="V76" s="377"/>
      <c r="W76" s="377"/>
      <c r="X76" s="377"/>
      <c r="Y76" s="377"/>
      <c r="Z76" s="377"/>
    </row>
    <row r="77" spans="1:26" ht="18" customHeight="1">
      <c r="A77" s="371" t="s">
        <v>214</v>
      </c>
      <c r="B77" s="1235" t="s">
        <v>190</v>
      </c>
      <c r="C77" s="1236"/>
      <c r="D77" s="1236"/>
      <c r="E77" s="372"/>
      <c r="F77" s="1237" t="s">
        <v>191</v>
      </c>
      <c r="G77" s="1241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377"/>
      <c r="T77" s="377"/>
      <c r="U77" s="377"/>
      <c r="V77" s="377"/>
      <c r="W77" s="377"/>
      <c r="X77" s="377"/>
      <c r="Y77" s="377"/>
      <c r="Z77" s="377"/>
    </row>
    <row r="78" spans="1:26" ht="18" customHeight="1">
      <c r="A78" s="317"/>
      <c r="B78" s="317"/>
      <c r="C78" s="317"/>
      <c r="D78" s="317"/>
      <c r="E78" s="317"/>
      <c r="F78" s="317"/>
      <c r="G78" s="317"/>
      <c r="H78" s="377"/>
      <c r="I78" s="377"/>
      <c r="J78" s="377"/>
      <c r="K78" s="377"/>
      <c r="L78" s="377"/>
      <c r="M78" s="377"/>
      <c r="N78" s="377"/>
      <c r="O78" s="377"/>
      <c r="P78" s="377"/>
      <c r="Q78" s="377"/>
      <c r="R78" s="377"/>
      <c r="S78" s="377"/>
      <c r="T78" s="377"/>
      <c r="U78" s="377"/>
      <c r="V78" s="377"/>
      <c r="W78" s="377"/>
      <c r="X78" s="377"/>
      <c r="Y78" s="377"/>
      <c r="Z78" s="377"/>
    </row>
    <row r="79" spans="1:26" ht="18" customHeight="1">
      <c r="A79" s="317"/>
      <c r="B79" s="317"/>
      <c r="C79" s="317"/>
      <c r="D79" s="317"/>
      <c r="E79" s="317"/>
      <c r="F79" s="317"/>
      <c r="G79" s="317"/>
      <c r="H79" s="377"/>
      <c r="I79" s="377"/>
      <c r="J79" s="377"/>
      <c r="K79" s="377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7"/>
      <c r="W79" s="377"/>
      <c r="X79" s="377"/>
      <c r="Y79" s="377"/>
      <c r="Z79" s="377"/>
    </row>
    <row r="80" spans="1:26" ht="18" customHeight="1">
      <c r="A80" s="1244" t="s">
        <v>194</v>
      </c>
      <c r="B80" s="1244"/>
      <c r="C80" s="1244"/>
      <c r="D80" s="1244"/>
      <c r="E80" s="1244"/>
      <c r="F80" s="1244"/>
      <c r="G80" s="1244"/>
      <c r="H80" s="377"/>
      <c r="I80" s="377"/>
      <c r="J80" s="377"/>
      <c r="K80" s="377"/>
      <c r="L80" s="377"/>
      <c r="M80" s="377"/>
      <c r="N80" s="377"/>
      <c r="O80" s="377"/>
      <c r="P80" s="377"/>
      <c r="Q80" s="377"/>
      <c r="R80" s="377"/>
      <c r="S80" s="377"/>
      <c r="T80" s="377"/>
      <c r="U80" s="377"/>
      <c r="V80" s="377"/>
      <c r="W80" s="377"/>
      <c r="X80" s="377"/>
      <c r="Y80" s="377"/>
      <c r="Z80" s="377"/>
    </row>
    <row r="81" spans="1:26" ht="18" customHeight="1">
      <c r="A81" s="317"/>
      <c r="B81" s="317"/>
      <c r="C81" s="317"/>
      <c r="D81" s="317"/>
      <c r="E81" s="317"/>
      <c r="F81" s="317"/>
      <c r="G81" s="317"/>
      <c r="H81" s="377"/>
      <c r="I81" s="377"/>
      <c r="J81" s="377"/>
      <c r="K81" s="377"/>
      <c r="L81" s="377"/>
      <c r="M81" s="377"/>
      <c r="N81" s="377"/>
      <c r="O81" s="377"/>
      <c r="P81" s="377"/>
      <c r="Q81" s="377"/>
      <c r="R81" s="377"/>
      <c r="S81" s="377"/>
      <c r="T81" s="377"/>
      <c r="U81" s="377"/>
      <c r="V81" s="377"/>
      <c r="W81" s="377"/>
      <c r="X81" s="377"/>
      <c r="Y81" s="377"/>
      <c r="Z81" s="377"/>
    </row>
    <row r="82" spans="1:26" ht="18" customHeight="1">
      <c r="A82" s="317"/>
      <c r="B82" s="317"/>
      <c r="C82" s="317"/>
      <c r="D82" s="317"/>
      <c r="E82" s="317"/>
      <c r="F82" s="317"/>
      <c r="G82" s="317"/>
      <c r="H82" s="377"/>
      <c r="I82" s="377"/>
      <c r="J82" s="377"/>
      <c r="K82" s="377"/>
      <c r="L82" s="377"/>
      <c r="M82" s="377"/>
      <c r="N82" s="377"/>
      <c r="O82" s="377"/>
      <c r="P82" s="377"/>
      <c r="Q82" s="377"/>
      <c r="R82" s="377"/>
      <c r="S82" s="377"/>
      <c r="T82" s="377"/>
      <c r="U82" s="377"/>
      <c r="V82" s="377"/>
      <c r="W82" s="377"/>
      <c r="X82" s="377"/>
      <c r="Y82" s="377"/>
      <c r="Z82" s="377"/>
    </row>
    <row r="83" spans="1:26" ht="18" customHeight="1">
      <c r="A83" s="317"/>
      <c r="B83" s="317"/>
      <c r="C83" s="317"/>
      <c r="D83" s="317"/>
      <c r="E83" s="317"/>
      <c r="F83" s="317"/>
      <c r="G83" s="317"/>
      <c r="H83" s="377"/>
      <c r="I83" s="377"/>
      <c r="J83" s="377"/>
      <c r="K83" s="377"/>
      <c r="L83" s="377"/>
      <c r="M83" s="377"/>
      <c r="N83" s="377"/>
      <c r="O83" s="377"/>
      <c r="P83" s="377"/>
      <c r="Q83" s="377"/>
      <c r="R83" s="377"/>
      <c r="S83" s="377"/>
      <c r="T83" s="377"/>
      <c r="U83" s="377"/>
      <c r="V83" s="377"/>
      <c r="W83" s="377"/>
      <c r="X83" s="377"/>
      <c r="Y83" s="377"/>
      <c r="Z83" s="377"/>
    </row>
    <row r="84" spans="1:26" ht="18" customHeight="1">
      <c r="A84" s="317"/>
      <c r="B84" s="317"/>
      <c r="C84" s="317"/>
      <c r="D84" s="317"/>
      <c r="E84" s="317"/>
      <c r="F84" s="317"/>
      <c r="G84" s="317"/>
      <c r="H84" s="377"/>
      <c r="I84" s="377"/>
      <c r="J84" s="377"/>
      <c r="K84" s="377"/>
      <c r="L84" s="377"/>
      <c r="M84" s="377"/>
      <c r="N84" s="377"/>
      <c r="O84" s="377"/>
      <c r="P84" s="377"/>
      <c r="Q84" s="377"/>
      <c r="R84" s="377"/>
      <c r="S84" s="377"/>
      <c r="T84" s="377"/>
      <c r="U84" s="377"/>
      <c r="V84" s="377"/>
      <c r="W84" s="377"/>
      <c r="X84" s="377"/>
      <c r="Y84" s="377"/>
      <c r="Z84" s="377"/>
    </row>
    <row r="85" spans="1:26" ht="18" customHeight="1">
      <c r="A85" s="317"/>
      <c r="B85" s="317"/>
      <c r="C85" s="317"/>
      <c r="D85" s="317"/>
      <c r="E85" s="317"/>
      <c r="F85" s="317"/>
      <c r="G85" s="317"/>
      <c r="H85" s="377"/>
      <c r="I85" s="377"/>
      <c r="J85" s="377"/>
      <c r="K85" s="377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7"/>
      <c r="W85" s="377"/>
      <c r="X85" s="377"/>
      <c r="Y85" s="377"/>
      <c r="Z85" s="377"/>
    </row>
    <row r="86" spans="1:26" ht="18" customHeight="1">
      <c r="A86" s="317"/>
      <c r="B86" s="317"/>
      <c r="C86" s="317"/>
      <c r="D86" s="317"/>
      <c r="E86" s="317"/>
      <c r="F86" s="317"/>
      <c r="G86" s="317"/>
      <c r="H86" s="377"/>
      <c r="I86" s="377"/>
      <c r="J86" s="377"/>
      <c r="K86" s="377"/>
      <c r="L86" s="377"/>
      <c r="M86" s="377"/>
      <c r="N86" s="377"/>
      <c r="O86" s="377"/>
      <c r="P86" s="377"/>
      <c r="Q86" s="377"/>
      <c r="R86" s="377"/>
      <c r="S86" s="377"/>
      <c r="T86" s="377"/>
      <c r="U86" s="377"/>
      <c r="V86" s="377"/>
      <c r="W86" s="377"/>
      <c r="X86" s="377"/>
      <c r="Y86" s="377"/>
      <c r="Z86" s="377"/>
    </row>
    <row r="87" spans="1:26" ht="18" customHeight="1">
      <c r="A87" s="317"/>
      <c r="B87" s="317"/>
      <c r="C87" s="317"/>
      <c r="D87" s="317"/>
      <c r="E87" s="317"/>
      <c r="F87" s="317"/>
      <c r="G87" s="317"/>
      <c r="H87" s="377"/>
      <c r="I87" s="377"/>
      <c r="J87" s="377"/>
      <c r="K87" s="377"/>
      <c r="L87" s="377"/>
      <c r="M87" s="377"/>
      <c r="N87" s="377"/>
      <c r="O87" s="377"/>
      <c r="P87" s="377"/>
      <c r="Q87" s="377"/>
      <c r="R87" s="377"/>
      <c r="S87" s="377"/>
      <c r="T87" s="377"/>
      <c r="U87" s="377"/>
      <c r="V87" s="377"/>
      <c r="W87" s="377"/>
      <c r="X87" s="377"/>
      <c r="Y87" s="377"/>
      <c r="Z87" s="377"/>
    </row>
    <row r="88" spans="1:26" ht="18" customHeight="1">
      <c r="A88" s="317"/>
      <c r="B88" s="317"/>
      <c r="C88" s="317"/>
      <c r="D88" s="317"/>
      <c r="E88" s="317"/>
      <c r="F88" s="317"/>
      <c r="G88" s="317"/>
      <c r="H88" s="377"/>
      <c r="I88" s="377"/>
      <c r="J88" s="377"/>
      <c r="K88" s="377"/>
      <c r="L88" s="377"/>
      <c r="M88" s="377"/>
      <c r="N88" s="377"/>
      <c r="O88" s="377"/>
      <c r="P88" s="377"/>
      <c r="Q88" s="377"/>
      <c r="R88" s="377"/>
      <c r="S88" s="377"/>
      <c r="T88" s="377"/>
      <c r="U88" s="377"/>
      <c r="V88" s="377"/>
      <c r="W88" s="377"/>
      <c r="X88" s="377"/>
      <c r="Y88" s="377"/>
      <c r="Z88" s="377"/>
    </row>
    <row r="89" spans="1:26" ht="18" customHeight="1">
      <c r="A89" s="317"/>
      <c r="B89" s="317"/>
      <c r="C89" s="317"/>
      <c r="D89" s="317"/>
      <c r="E89" s="317"/>
      <c r="F89" s="317"/>
      <c r="G89" s="317"/>
      <c r="H89" s="377"/>
      <c r="I89" s="377"/>
      <c r="J89" s="377"/>
      <c r="K89" s="377"/>
      <c r="L89" s="377"/>
      <c r="M89" s="377"/>
      <c r="N89" s="377"/>
      <c r="O89" s="377"/>
      <c r="P89" s="377"/>
      <c r="Q89" s="377"/>
      <c r="R89" s="377"/>
      <c r="S89" s="377"/>
      <c r="T89" s="377"/>
      <c r="U89" s="377"/>
      <c r="V89" s="377"/>
      <c r="W89" s="377"/>
      <c r="X89" s="377"/>
      <c r="Y89" s="377"/>
      <c r="Z89" s="377"/>
    </row>
    <row r="90" spans="1:26" ht="18" customHeight="1">
      <c r="A90" s="317"/>
      <c r="B90" s="317"/>
      <c r="C90" s="317"/>
      <c r="D90" s="317"/>
      <c r="E90" s="317"/>
      <c r="F90" s="317"/>
      <c r="G90" s="317"/>
      <c r="H90" s="377"/>
      <c r="I90" s="377"/>
      <c r="J90" s="377"/>
      <c r="K90" s="377"/>
      <c r="L90" s="377"/>
      <c r="M90" s="377"/>
      <c r="N90" s="377"/>
      <c r="O90" s="377"/>
      <c r="P90" s="377"/>
      <c r="Q90" s="377"/>
      <c r="R90" s="377"/>
      <c r="S90" s="377"/>
      <c r="T90" s="377"/>
      <c r="U90" s="377"/>
      <c r="V90" s="377"/>
      <c r="W90" s="377"/>
      <c r="X90" s="377"/>
      <c r="Y90" s="377"/>
      <c r="Z90" s="377"/>
    </row>
    <row r="91" spans="1:26" ht="18" customHeight="1">
      <c r="A91" s="317"/>
      <c r="B91" s="317"/>
      <c r="C91" s="317"/>
      <c r="D91" s="317"/>
      <c r="E91" s="317"/>
      <c r="F91" s="317"/>
      <c r="G91" s="317"/>
      <c r="H91" s="377"/>
      <c r="I91" s="377"/>
      <c r="J91" s="377"/>
      <c r="K91" s="377"/>
      <c r="L91" s="377"/>
      <c r="M91" s="377"/>
      <c r="N91" s="377"/>
      <c r="O91" s="377"/>
      <c r="P91" s="377"/>
      <c r="Q91" s="377"/>
      <c r="R91" s="377"/>
      <c r="S91" s="377"/>
      <c r="T91" s="377"/>
      <c r="U91" s="377"/>
      <c r="V91" s="377"/>
      <c r="W91" s="377"/>
      <c r="X91" s="377"/>
      <c r="Y91" s="377"/>
      <c r="Z91" s="377"/>
    </row>
    <row r="92" spans="1:26" ht="18" customHeight="1">
      <c r="A92" s="317"/>
      <c r="B92" s="317"/>
      <c r="C92" s="317"/>
      <c r="D92" s="317"/>
      <c r="E92" s="317"/>
      <c r="F92" s="317"/>
      <c r="G92" s="317"/>
      <c r="H92" s="377"/>
      <c r="I92" s="377"/>
      <c r="J92" s="377"/>
      <c r="K92" s="377"/>
      <c r="L92" s="377"/>
      <c r="M92" s="377"/>
      <c r="N92" s="377"/>
      <c r="O92" s="377"/>
      <c r="P92" s="377"/>
      <c r="Q92" s="377"/>
      <c r="R92" s="377"/>
      <c r="S92" s="377"/>
      <c r="T92" s="377"/>
      <c r="U92" s="377"/>
      <c r="V92" s="377"/>
      <c r="W92" s="377"/>
      <c r="X92" s="377"/>
      <c r="Y92" s="377"/>
      <c r="Z92" s="377"/>
    </row>
    <row r="93" spans="1:26" ht="18" customHeight="1">
      <c r="A93" s="317"/>
      <c r="B93" s="317"/>
      <c r="C93" s="317"/>
      <c r="D93" s="317"/>
      <c r="E93" s="317"/>
      <c r="F93" s="317"/>
      <c r="G93" s="317"/>
      <c r="H93" s="377"/>
      <c r="I93" s="377"/>
      <c r="J93" s="377"/>
      <c r="K93" s="377"/>
      <c r="L93" s="377"/>
      <c r="M93" s="377"/>
      <c r="N93" s="377"/>
      <c r="O93" s="377"/>
      <c r="P93" s="377"/>
      <c r="Q93" s="377"/>
      <c r="R93" s="377"/>
      <c r="S93" s="377"/>
      <c r="T93" s="377"/>
      <c r="U93" s="377"/>
      <c r="V93" s="377"/>
      <c r="W93" s="377"/>
      <c r="X93" s="377"/>
      <c r="Y93" s="377"/>
      <c r="Z93" s="377"/>
    </row>
    <row r="94" spans="1:26" ht="18" customHeight="1">
      <c r="A94" s="317"/>
      <c r="B94" s="317"/>
      <c r="C94" s="317"/>
      <c r="D94" s="317"/>
      <c r="E94" s="317"/>
      <c r="F94" s="317"/>
      <c r="G94" s="317"/>
      <c r="H94" s="377"/>
      <c r="I94" s="377"/>
      <c r="J94" s="377"/>
      <c r="K94" s="377"/>
      <c r="L94" s="377"/>
      <c r="M94" s="377"/>
      <c r="N94" s="377"/>
      <c r="O94" s="377"/>
      <c r="P94" s="377"/>
      <c r="Q94" s="377"/>
      <c r="R94" s="377"/>
      <c r="S94" s="377"/>
      <c r="T94" s="377"/>
      <c r="U94" s="377"/>
      <c r="V94" s="377"/>
      <c r="W94" s="377"/>
      <c r="X94" s="377"/>
      <c r="Y94" s="377"/>
      <c r="Z94" s="377"/>
    </row>
    <row r="95" spans="1:26" ht="18" customHeight="1">
      <c r="A95" s="317"/>
      <c r="B95" s="317"/>
      <c r="C95" s="317"/>
      <c r="D95" s="317"/>
      <c r="E95" s="317"/>
      <c r="F95" s="317"/>
      <c r="G95" s="317"/>
      <c r="H95" s="377"/>
      <c r="I95" s="377"/>
      <c r="J95" s="377"/>
      <c r="K95" s="377"/>
      <c r="L95" s="377"/>
      <c r="M95" s="377"/>
      <c r="N95" s="377"/>
      <c r="O95" s="377"/>
      <c r="P95" s="377"/>
      <c r="Q95" s="377"/>
      <c r="R95" s="377"/>
      <c r="S95" s="377"/>
      <c r="T95" s="377"/>
      <c r="U95" s="377"/>
      <c r="V95" s="377"/>
      <c r="W95" s="377"/>
      <c r="X95" s="377"/>
      <c r="Y95" s="377"/>
      <c r="Z95" s="377"/>
    </row>
    <row r="96" spans="1:26" ht="18" customHeight="1">
      <c r="A96" s="317"/>
      <c r="B96" s="317"/>
      <c r="C96" s="317"/>
      <c r="D96" s="317"/>
      <c r="E96" s="317"/>
      <c r="F96" s="317"/>
      <c r="G96" s="317"/>
      <c r="H96" s="377"/>
      <c r="I96" s="377"/>
      <c r="J96" s="377"/>
      <c r="K96" s="377"/>
      <c r="L96" s="377"/>
      <c r="M96" s="377"/>
      <c r="N96" s="377"/>
      <c r="O96" s="377"/>
      <c r="P96" s="377"/>
      <c r="Q96" s="377"/>
      <c r="R96" s="377"/>
      <c r="S96" s="377"/>
      <c r="T96" s="377"/>
      <c r="U96" s="377"/>
      <c r="V96" s="377"/>
      <c r="W96" s="377"/>
      <c r="X96" s="377"/>
      <c r="Y96" s="377"/>
      <c r="Z96" s="377"/>
    </row>
    <row r="97" spans="1:26" ht="18" customHeight="1">
      <c r="A97" s="317"/>
      <c r="B97" s="317"/>
      <c r="C97" s="317"/>
      <c r="D97" s="317"/>
      <c r="E97" s="317"/>
      <c r="F97" s="317"/>
      <c r="G97" s="317"/>
      <c r="H97" s="377"/>
      <c r="I97" s="377"/>
      <c r="J97" s="377"/>
      <c r="K97" s="377"/>
      <c r="L97" s="377"/>
      <c r="M97" s="377"/>
      <c r="N97" s="377"/>
      <c r="O97" s="377"/>
      <c r="P97" s="377"/>
      <c r="Q97" s="377"/>
      <c r="R97" s="377"/>
      <c r="S97" s="377"/>
      <c r="T97" s="377"/>
      <c r="U97" s="377"/>
      <c r="V97" s="377"/>
      <c r="W97" s="377"/>
      <c r="X97" s="377"/>
      <c r="Y97" s="377"/>
      <c r="Z97" s="377"/>
    </row>
    <row r="98" spans="1:26" ht="18" customHeight="1">
      <c r="A98" s="317"/>
      <c r="B98" s="317"/>
      <c r="C98" s="317"/>
      <c r="D98" s="317"/>
      <c r="E98" s="317"/>
      <c r="F98" s="317"/>
      <c r="G98" s="317"/>
      <c r="H98" s="377"/>
      <c r="I98" s="377"/>
      <c r="J98" s="377"/>
      <c r="K98" s="377"/>
      <c r="L98" s="377"/>
      <c r="M98" s="377"/>
      <c r="N98" s="377"/>
      <c r="O98" s="377"/>
      <c r="P98" s="377"/>
      <c r="Q98" s="377"/>
      <c r="R98" s="377"/>
      <c r="S98" s="377"/>
      <c r="T98" s="377"/>
      <c r="U98" s="377"/>
      <c r="V98" s="377"/>
      <c r="W98" s="377"/>
      <c r="X98" s="377"/>
      <c r="Y98" s="377"/>
      <c r="Z98" s="377"/>
    </row>
    <row r="99" spans="1:26" ht="18" customHeight="1">
      <c r="A99" s="317"/>
      <c r="B99" s="317"/>
      <c r="C99" s="317"/>
      <c r="D99" s="317"/>
      <c r="E99" s="317"/>
      <c r="F99" s="317"/>
      <c r="G99" s="317"/>
      <c r="H99" s="377"/>
      <c r="I99" s="377"/>
      <c r="J99" s="377"/>
      <c r="K99" s="377"/>
      <c r="L99" s="377"/>
      <c r="M99" s="377"/>
      <c r="N99" s="377"/>
      <c r="O99" s="377"/>
      <c r="P99" s="377"/>
      <c r="Q99" s="377"/>
      <c r="R99" s="377"/>
      <c r="S99" s="377"/>
      <c r="T99" s="377"/>
      <c r="U99" s="377"/>
      <c r="V99" s="377"/>
      <c r="W99" s="377"/>
      <c r="X99" s="377"/>
      <c r="Y99" s="377"/>
      <c r="Z99" s="377"/>
    </row>
    <row r="100" spans="1:26" ht="18" customHeight="1">
      <c r="A100" s="317"/>
      <c r="B100" s="317"/>
      <c r="C100" s="317"/>
      <c r="D100" s="317"/>
      <c r="E100" s="317"/>
      <c r="F100" s="317"/>
      <c r="G100" s="317"/>
      <c r="H100" s="377"/>
      <c r="I100" s="377"/>
      <c r="J100" s="377"/>
      <c r="K100" s="377"/>
      <c r="L100" s="377"/>
      <c r="M100" s="377"/>
      <c r="N100" s="377"/>
      <c r="O100" s="377"/>
      <c r="P100" s="377"/>
      <c r="Q100" s="377"/>
      <c r="R100" s="377"/>
      <c r="S100" s="377"/>
      <c r="T100" s="377"/>
      <c r="U100" s="377"/>
      <c r="V100" s="377"/>
      <c r="W100" s="377"/>
      <c r="X100" s="377"/>
      <c r="Y100" s="377"/>
      <c r="Z100" s="377"/>
    </row>
    <row r="101" spans="1:26" ht="18" customHeight="1">
      <c r="A101" s="317"/>
      <c r="B101" s="317"/>
      <c r="C101" s="317"/>
      <c r="D101" s="317"/>
      <c r="E101" s="317"/>
      <c r="F101" s="317"/>
      <c r="G101" s="317"/>
      <c r="H101" s="377"/>
      <c r="I101" s="377"/>
      <c r="J101" s="377"/>
      <c r="K101" s="377"/>
      <c r="L101" s="377"/>
      <c r="M101" s="377"/>
      <c r="N101" s="377"/>
      <c r="O101" s="377"/>
      <c r="P101" s="377"/>
      <c r="Q101" s="377"/>
      <c r="R101" s="377"/>
      <c r="S101" s="377"/>
      <c r="T101" s="377"/>
      <c r="U101" s="377"/>
      <c r="V101" s="377"/>
      <c r="W101" s="377"/>
      <c r="X101" s="377"/>
      <c r="Y101" s="377"/>
      <c r="Z101" s="377"/>
    </row>
    <row r="102" spans="1:26" ht="18" customHeight="1">
      <c r="A102" s="317"/>
      <c r="B102" s="317"/>
      <c r="C102" s="317"/>
      <c r="D102" s="317"/>
      <c r="E102" s="317"/>
      <c r="F102" s="317"/>
      <c r="G102" s="317"/>
      <c r="H102" s="377"/>
      <c r="I102" s="377"/>
      <c r="J102" s="377"/>
      <c r="K102" s="377"/>
      <c r="L102" s="377"/>
      <c r="M102" s="377"/>
      <c r="N102" s="377"/>
      <c r="O102" s="377"/>
      <c r="P102" s="377"/>
      <c r="Q102" s="377"/>
      <c r="R102" s="377"/>
      <c r="S102" s="377"/>
      <c r="T102" s="377"/>
      <c r="U102" s="377"/>
      <c r="V102" s="377"/>
      <c r="W102" s="377"/>
      <c r="X102" s="377"/>
      <c r="Y102" s="377"/>
      <c r="Z102" s="377"/>
    </row>
    <row r="103" spans="1:26" ht="18" customHeight="1">
      <c r="A103" s="317"/>
      <c r="B103" s="317"/>
      <c r="C103" s="317"/>
      <c r="D103" s="317"/>
      <c r="E103" s="317"/>
      <c r="F103" s="317"/>
      <c r="G103" s="317"/>
      <c r="H103" s="377"/>
      <c r="I103" s="377"/>
      <c r="J103" s="377"/>
      <c r="K103" s="377"/>
      <c r="L103" s="377"/>
      <c r="M103" s="377"/>
      <c r="N103" s="377"/>
      <c r="O103" s="377"/>
      <c r="P103" s="377"/>
      <c r="Q103" s="377"/>
      <c r="R103" s="377"/>
      <c r="S103" s="377"/>
      <c r="T103" s="377"/>
      <c r="U103" s="377"/>
      <c r="V103" s="377"/>
      <c r="W103" s="377"/>
      <c r="X103" s="377"/>
      <c r="Y103" s="377"/>
      <c r="Z103" s="377"/>
    </row>
    <row r="104" spans="1:26" ht="18" customHeight="1">
      <c r="A104" s="317"/>
      <c r="B104" s="317"/>
      <c r="C104" s="317"/>
      <c r="D104" s="317"/>
      <c r="E104" s="317"/>
      <c r="F104" s="317"/>
      <c r="G104" s="317"/>
      <c r="H104" s="377"/>
      <c r="I104" s="377"/>
      <c r="J104" s="377"/>
      <c r="K104" s="377"/>
      <c r="L104" s="377"/>
      <c r="M104" s="377"/>
      <c r="N104" s="377"/>
      <c r="O104" s="377"/>
      <c r="P104" s="377"/>
      <c r="Q104" s="377"/>
      <c r="R104" s="377"/>
      <c r="S104" s="377"/>
      <c r="T104" s="377"/>
      <c r="U104" s="377"/>
      <c r="V104" s="377"/>
      <c r="W104" s="377"/>
      <c r="X104" s="377"/>
      <c r="Y104" s="377"/>
      <c r="Z104" s="377"/>
    </row>
    <row r="105" spans="1:26" ht="18" customHeight="1">
      <c r="A105" s="317"/>
      <c r="B105" s="317"/>
      <c r="C105" s="317"/>
      <c r="D105" s="317"/>
      <c r="E105" s="317"/>
      <c r="F105" s="317"/>
      <c r="G105" s="317"/>
      <c r="H105" s="377"/>
      <c r="I105" s="377"/>
      <c r="J105" s="377"/>
      <c r="K105" s="377"/>
      <c r="L105" s="377"/>
      <c r="M105" s="377"/>
      <c r="N105" s="377"/>
      <c r="O105" s="377"/>
      <c r="P105" s="377"/>
      <c r="Q105" s="377"/>
      <c r="R105" s="377"/>
      <c r="S105" s="377"/>
      <c r="T105" s="377"/>
      <c r="U105" s="377"/>
      <c r="V105" s="377"/>
      <c r="W105" s="377"/>
      <c r="X105" s="377"/>
      <c r="Y105" s="377"/>
      <c r="Z105" s="377"/>
    </row>
    <row r="106" spans="1:26" ht="18" customHeight="1">
      <c r="A106" s="317"/>
      <c r="B106" s="317"/>
      <c r="C106" s="317"/>
      <c r="D106" s="317"/>
      <c r="E106" s="317"/>
      <c r="F106" s="317"/>
      <c r="G106" s="317"/>
      <c r="H106" s="377"/>
      <c r="I106" s="377"/>
      <c r="J106" s="377"/>
      <c r="K106" s="377"/>
      <c r="L106" s="377"/>
      <c r="M106" s="377"/>
      <c r="N106" s="377"/>
      <c r="O106" s="377"/>
      <c r="P106" s="377"/>
      <c r="Q106" s="377"/>
      <c r="R106" s="377"/>
      <c r="S106" s="377"/>
      <c r="T106" s="377"/>
      <c r="U106" s="377"/>
      <c r="V106" s="377"/>
      <c r="W106" s="377"/>
      <c r="X106" s="377"/>
      <c r="Y106" s="377"/>
      <c r="Z106" s="377"/>
    </row>
    <row r="107" spans="1:26" ht="18" customHeight="1">
      <c r="A107" s="317"/>
      <c r="B107" s="317"/>
      <c r="C107" s="317"/>
      <c r="D107" s="317"/>
      <c r="E107" s="317"/>
      <c r="F107" s="317"/>
      <c r="G107" s="317"/>
      <c r="H107" s="377"/>
      <c r="I107" s="377"/>
      <c r="J107" s="377"/>
      <c r="K107" s="377"/>
      <c r="L107" s="377"/>
      <c r="M107" s="377"/>
      <c r="N107" s="377"/>
      <c r="O107" s="377"/>
      <c r="P107" s="377"/>
      <c r="Q107" s="377"/>
      <c r="R107" s="377"/>
      <c r="S107" s="377"/>
      <c r="T107" s="377"/>
      <c r="U107" s="377"/>
      <c r="V107" s="377"/>
      <c r="W107" s="377"/>
      <c r="X107" s="377"/>
      <c r="Y107" s="377"/>
      <c r="Z107" s="377"/>
    </row>
    <row r="108" spans="1:26" ht="18" customHeight="1">
      <c r="A108" s="317"/>
      <c r="B108" s="317"/>
      <c r="C108" s="317"/>
      <c r="D108" s="317"/>
      <c r="E108" s="317"/>
      <c r="F108" s="317"/>
      <c r="G108" s="317"/>
      <c r="H108" s="377"/>
      <c r="I108" s="377"/>
      <c r="J108" s="377"/>
      <c r="K108" s="377"/>
      <c r="L108" s="377"/>
      <c r="M108" s="377"/>
      <c r="N108" s="377"/>
      <c r="O108" s="377"/>
      <c r="P108" s="377"/>
      <c r="Q108" s="377"/>
      <c r="R108" s="377"/>
      <c r="S108" s="377"/>
      <c r="T108" s="377"/>
      <c r="U108" s="377"/>
      <c r="V108" s="377"/>
      <c r="W108" s="377"/>
      <c r="X108" s="377"/>
      <c r="Y108" s="377"/>
      <c r="Z108" s="377"/>
    </row>
    <row r="109" spans="1:26" ht="18" customHeight="1">
      <c r="A109" s="317"/>
      <c r="B109" s="317"/>
      <c r="C109" s="317"/>
      <c r="D109" s="317"/>
      <c r="E109" s="317"/>
      <c r="F109" s="317"/>
      <c r="G109" s="317"/>
      <c r="H109" s="377"/>
      <c r="I109" s="377"/>
      <c r="J109" s="377"/>
      <c r="K109" s="377"/>
      <c r="L109" s="377"/>
      <c r="M109" s="377"/>
      <c r="N109" s="377"/>
      <c r="O109" s="377"/>
      <c r="P109" s="377"/>
      <c r="Q109" s="377"/>
      <c r="R109" s="377"/>
      <c r="S109" s="377"/>
      <c r="T109" s="377"/>
      <c r="U109" s="377"/>
      <c r="V109" s="377"/>
      <c r="W109" s="377"/>
      <c r="X109" s="377"/>
      <c r="Y109" s="377"/>
      <c r="Z109" s="377"/>
    </row>
    <row r="110" spans="1:26" ht="18" customHeight="1">
      <c r="A110" s="317"/>
      <c r="B110" s="317"/>
      <c r="C110" s="317"/>
      <c r="D110" s="317"/>
      <c r="E110" s="317"/>
      <c r="F110" s="317"/>
      <c r="G110" s="317"/>
      <c r="H110" s="377"/>
      <c r="I110" s="377"/>
      <c r="J110" s="377"/>
      <c r="K110" s="377"/>
      <c r="L110" s="377"/>
      <c r="M110" s="377"/>
      <c r="N110" s="377"/>
      <c r="O110" s="377"/>
      <c r="P110" s="377"/>
      <c r="Q110" s="377"/>
      <c r="R110" s="377"/>
      <c r="S110" s="377"/>
      <c r="T110" s="377"/>
      <c r="U110" s="377"/>
      <c r="V110" s="377"/>
      <c r="W110" s="377"/>
      <c r="X110" s="377"/>
      <c r="Y110" s="377"/>
      <c r="Z110" s="377"/>
    </row>
    <row r="111" spans="1:26" ht="18" customHeight="1">
      <c r="A111" s="317"/>
      <c r="B111" s="317"/>
      <c r="C111" s="317"/>
      <c r="D111" s="317"/>
      <c r="E111" s="317"/>
      <c r="F111" s="317"/>
      <c r="G111" s="317"/>
      <c r="H111" s="377"/>
      <c r="I111" s="377"/>
      <c r="J111" s="377"/>
      <c r="K111" s="377"/>
      <c r="L111" s="377"/>
      <c r="M111" s="377"/>
      <c r="N111" s="377"/>
      <c r="O111" s="377"/>
      <c r="P111" s="377"/>
      <c r="Q111" s="377"/>
      <c r="R111" s="377"/>
      <c r="S111" s="377"/>
      <c r="T111" s="377"/>
      <c r="U111" s="377"/>
      <c r="V111" s="377"/>
      <c r="W111" s="377"/>
      <c r="X111" s="377"/>
      <c r="Y111" s="377"/>
      <c r="Z111" s="377"/>
    </row>
    <row r="112" spans="1:26" ht="18" customHeight="1">
      <c r="A112" s="317"/>
      <c r="B112" s="317"/>
      <c r="C112" s="317"/>
      <c r="D112" s="317"/>
      <c r="E112" s="317"/>
      <c r="F112" s="317"/>
      <c r="G112" s="317"/>
      <c r="H112" s="377"/>
      <c r="I112" s="377"/>
      <c r="J112" s="377"/>
      <c r="K112" s="377"/>
      <c r="L112" s="377"/>
      <c r="M112" s="377"/>
      <c r="N112" s="377"/>
      <c r="O112" s="377"/>
      <c r="P112" s="377"/>
      <c r="Q112" s="377"/>
      <c r="R112" s="377"/>
      <c r="S112" s="377"/>
      <c r="T112" s="377"/>
      <c r="U112" s="377"/>
      <c r="V112" s="377"/>
      <c r="W112" s="377"/>
      <c r="X112" s="377"/>
      <c r="Y112" s="377"/>
      <c r="Z112" s="377"/>
    </row>
    <row r="113" spans="1:26" ht="18" customHeight="1">
      <c r="A113" s="317"/>
      <c r="B113" s="317"/>
      <c r="C113" s="317"/>
      <c r="D113" s="317"/>
      <c r="E113" s="317"/>
      <c r="F113" s="317"/>
      <c r="G113" s="317"/>
      <c r="H113" s="377"/>
      <c r="I113" s="377"/>
      <c r="J113" s="377"/>
      <c r="K113" s="377"/>
      <c r="L113" s="377"/>
      <c r="M113" s="377"/>
      <c r="N113" s="377"/>
      <c r="O113" s="377"/>
      <c r="P113" s="377"/>
      <c r="Q113" s="377"/>
      <c r="R113" s="377"/>
      <c r="S113" s="377"/>
      <c r="T113" s="377"/>
      <c r="U113" s="377"/>
      <c r="V113" s="377"/>
      <c r="W113" s="377"/>
      <c r="X113" s="377"/>
      <c r="Y113" s="377"/>
      <c r="Z113" s="377"/>
    </row>
    <row r="114" spans="1:26" ht="18" customHeight="1">
      <c r="A114" s="317"/>
      <c r="B114" s="317"/>
      <c r="C114" s="317"/>
      <c r="D114" s="317"/>
      <c r="E114" s="317"/>
      <c r="F114" s="317"/>
      <c r="G114" s="317"/>
      <c r="H114" s="377"/>
      <c r="I114" s="377"/>
      <c r="J114" s="377"/>
      <c r="K114" s="377"/>
      <c r="L114" s="377"/>
      <c r="M114" s="377"/>
      <c r="N114" s="377"/>
      <c r="O114" s="377"/>
      <c r="P114" s="377"/>
      <c r="Q114" s="377"/>
      <c r="R114" s="377"/>
      <c r="S114" s="377"/>
      <c r="T114" s="377"/>
      <c r="U114" s="377"/>
      <c r="V114" s="377"/>
      <c r="W114" s="377"/>
      <c r="X114" s="377"/>
      <c r="Y114" s="377"/>
      <c r="Z114" s="377"/>
    </row>
    <row r="115" spans="1:26" ht="18" customHeight="1">
      <c r="A115" s="317"/>
      <c r="B115" s="317"/>
      <c r="C115" s="317"/>
      <c r="D115" s="317"/>
      <c r="E115" s="317"/>
      <c r="F115" s="317"/>
      <c r="G115" s="317"/>
      <c r="H115" s="377"/>
      <c r="I115" s="377"/>
      <c r="J115" s="377"/>
      <c r="K115" s="377"/>
      <c r="L115" s="377"/>
      <c r="M115" s="377"/>
      <c r="N115" s="377"/>
      <c r="O115" s="377"/>
      <c r="P115" s="377"/>
      <c r="Q115" s="377"/>
      <c r="R115" s="377"/>
      <c r="S115" s="377"/>
      <c r="T115" s="377"/>
      <c r="U115" s="377"/>
      <c r="V115" s="377"/>
      <c r="W115" s="377"/>
      <c r="X115" s="377"/>
      <c r="Y115" s="377"/>
      <c r="Z115" s="377"/>
    </row>
    <row r="116" spans="1:26" ht="18" customHeight="1">
      <c r="A116" s="317"/>
      <c r="B116" s="317"/>
      <c r="C116" s="317"/>
      <c r="D116" s="317"/>
      <c r="E116" s="317"/>
      <c r="F116" s="317"/>
      <c r="G116" s="317"/>
      <c r="H116" s="377"/>
      <c r="I116" s="377"/>
      <c r="J116" s="377"/>
      <c r="K116" s="377"/>
      <c r="L116" s="377"/>
      <c r="M116" s="377"/>
      <c r="N116" s="377"/>
      <c r="O116" s="377"/>
      <c r="P116" s="377"/>
      <c r="Q116" s="377"/>
      <c r="R116" s="377"/>
      <c r="S116" s="377"/>
      <c r="T116" s="377"/>
      <c r="U116" s="377"/>
      <c r="V116" s="377"/>
      <c r="W116" s="377"/>
      <c r="X116" s="377"/>
      <c r="Y116" s="377"/>
      <c r="Z116" s="377"/>
    </row>
    <row r="117" spans="1:26" ht="18" customHeight="1">
      <c r="A117" s="317"/>
      <c r="B117" s="317"/>
      <c r="C117" s="317"/>
      <c r="D117" s="317"/>
      <c r="E117" s="317"/>
      <c r="F117" s="317"/>
      <c r="G117" s="317"/>
      <c r="H117" s="377"/>
      <c r="I117" s="377"/>
      <c r="J117" s="377"/>
      <c r="K117" s="377"/>
      <c r="L117" s="377"/>
      <c r="M117" s="377"/>
      <c r="N117" s="377"/>
      <c r="O117" s="377"/>
      <c r="P117" s="377"/>
      <c r="Q117" s="377"/>
      <c r="R117" s="377"/>
      <c r="S117" s="377"/>
      <c r="T117" s="377"/>
      <c r="U117" s="377"/>
      <c r="V117" s="377"/>
      <c r="W117" s="377"/>
      <c r="X117" s="377"/>
      <c r="Y117" s="377"/>
      <c r="Z117" s="377"/>
    </row>
    <row r="118" spans="1:26" ht="18" customHeight="1">
      <c r="A118" s="317"/>
      <c r="B118" s="317"/>
      <c r="C118" s="317"/>
      <c r="D118" s="317"/>
      <c r="E118" s="317"/>
      <c r="F118" s="317"/>
      <c r="G118" s="317"/>
      <c r="H118" s="377"/>
      <c r="I118" s="377"/>
      <c r="J118" s="377"/>
      <c r="K118" s="377"/>
      <c r="L118" s="377"/>
      <c r="M118" s="377"/>
      <c r="N118" s="377"/>
      <c r="O118" s="377"/>
      <c r="P118" s="377"/>
      <c r="Q118" s="377"/>
      <c r="R118" s="377"/>
      <c r="S118" s="377"/>
      <c r="T118" s="377"/>
      <c r="U118" s="377"/>
      <c r="V118" s="377"/>
      <c r="W118" s="377"/>
      <c r="X118" s="377"/>
      <c r="Y118" s="377"/>
      <c r="Z118" s="377"/>
    </row>
    <row r="119" spans="1:26" ht="18" customHeight="1">
      <c r="A119" s="317"/>
      <c r="B119" s="317"/>
      <c r="C119" s="317"/>
      <c r="D119" s="317"/>
      <c r="E119" s="317"/>
      <c r="F119" s="317"/>
      <c r="G119" s="317"/>
      <c r="H119" s="377"/>
      <c r="I119" s="377"/>
      <c r="J119" s="377"/>
      <c r="K119" s="377"/>
      <c r="L119" s="377"/>
      <c r="M119" s="377"/>
      <c r="N119" s="377"/>
      <c r="O119" s="377"/>
      <c r="P119" s="377"/>
      <c r="Q119" s="377"/>
      <c r="R119" s="377"/>
      <c r="S119" s="377"/>
      <c r="T119" s="377"/>
      <c r="U119" s="377"/>
      <c r="V119" s="377"/>
      <c r="W119" s="377"/>
      <c r="X119" s="377"/>
      <c r="Y119" s="377"/>
      <c r="Z119" s="377"/>
    </row>
    <row r="120" spans="1:26" ht="18" customHeight="1">
      <c r="A120" s="317"/>
      <c r="B120" s="317"/>
      <c r="C120" s="317"/>
      <c r="D120" s="317"/>
      <c r="E120" s="317"/>
      <c r="F120" s="317"/>
      <c r="G120" s="317"/>
      <c r="H120" s="377"/>
      <c r="I120" s="377"/>
      <c r="J120" s="377"/>
      <c r="K120" s="377"/>
      <c r="L120" s="377"/>
      <c r="M120" s="377"/>
      <c r="N120" s="377"/>
      <c r="O120" s="377"/>
      <c r="P120" s="377"/>
      <c r="Q120" s="377"/>
      <c r="R120" s="377"/>
      <c r="S120" s="377"/>
      <c r="T120" s="377"/>
      <c r="U120" s="377"/>
      <c r="V120" s="377"/>
      <c r="W120" s="377"/>
      <c r="X120" s="377"/>
      <c r="Y120" s="377"/>
      <c r="Z120" s="377"/>
    </row>
    <row r="121" spans="1:26" ht="18" customHeight="1">
      <c r="A121" s="317"/>
      <c r="B121" s="317"/>
      <c r="C121" s="317"/>
      <c r="D121" s="317"/>
      <c r="E121" s="317"/>
      <c r="F121" s="317"/>
      <c r="G121" s="317"/>
      <c r="H121" s="377"/>
      <c r="I121" s="377"/>
      <c r="J121" s="377"/>
      <c r="K121" s="377"/>
      <c r="L121" s="377"/>
      <c r="M121" s="377"/>
      <c r="N121" s="377"/>
      <c r="O121" s="377"/>
      <c r="P121" s="377"/>
      <c r="Q121" s="377"/>
      <c r="R121" s="377"/>
      <c r="S121" s="377"/>
      <c r="T121" s="377"/>
      <c r="U121" s="377"/>
      <c r="V121" s="377"/>
      <c r="W121" s="377"/>
      <c r="X121" s="377"/>
      <c r="Y121" s="377"/>
      <c r="Z121" s="377"/>
    </row>
    <row r="122" spans="1:26" ht="18" customHeight="1">
      <c r="A122" s="317"/>
      <c r="B122" s="317"/>
      <c r="C122" s="317"/>
      <c r="D122" s="317"/>
      <c r="E122" s="317"/>
      <c r="F122" s="317"/>
      <c r="G122" s="317"/>
      <c r="H122" s="377"/>
      <c r="I122" s="377"/>
      <c r="J122" s="377"/>
      <c r="K122" s="377"/>
      <c r="L122" s="377"/>
      <c r="M122" s="377"/>
      <c r="N122" s="377"/>
      <c r="O122" s="377"/>
      <c r="P122" s="377"/>
      <c r="Q122" s="377"/>
      <c r="R122" s="377"/>
      <c r="S122" s="377"/>
      <c r="T122" s="377"/>
      <c r="U122" s="377"/>
      <c r="V122" s="377"/>
      <c r="W122" s="377"/>
      <c r="X122" s="377"/>
      <c r="Y122" s="377"/>
      <c r="Z122" s="377"/>
    </row>
    <row r="123" spans="1:26" ht="18" customHeight="1">
      <c r="A123" s="317"/>
      <c r="B123" s="317"/>
      <c r="C123" s="317"/>
      <c r="D123" s="317"/>
      <c r="E123" s="317"/>
      <c r="F123" s="317"/>
      <c r="G123" s="317"/>
      <c r="H123" s="377"/>
      <c r="I123" s="377"/>
      <c r="J123" s="377"/>
      <c r="K123" s="377"/>
      <c r="L123" s="377"/>
      <c r="M123" s="377"/>
      <c r="N123" s="377"/>
      <c r="O123" s="377"/>
      <c r="P123" s="377"/>
      <c r="Q123" s="377"/>
      <c r="R123" s="377"/>
      <c r="S123" s="377"/>
      <c r="T123" s="377"/>
      <c r="U123" s="377"/>
      <c r="V123" s="377"/>
      <c r="W123" s="377"/>
      <c r="X123" s="377"/>
      <c r="Y123" s="377"/>
      <c r="Z123" s="377"/>
    </row>
    <row r="124" spans="1:26" ht="18" customHeight="1">
      <c r="A124" s="317"/>
      <c r="B124" s="317"/>
      <c r="C124" s="317"/>
      <c r="D124" s="317"/>
      <c r="E124" s="317"/>
      <c r="F124" s="317"/>
      <c r="G124" s="317"/>
      <c r="H124" s="377"/>
      <c r="I124" s="377"/>
      <c r="J124" s="377"/>
      <c r="K124" s="377"/>
      <c r="L124" s="377"/>
      <c r="M124" s="377"/>
      <c r="N124" s="377"/>
      <c r="O124" s="377"/>
      <c r="P124" s="377"/>
      <c r="Q124" s="377"/>
      <c r="R124" s="377"/>
      <c r="S124" s="377"/>
      <c r="T124" s="377"/>
      <c r="U124" s="377"/>
      <c r="V124" s="377"/>
      <c r="W124" s="377"/>
      <c r="X124" s="377"/>
      <c r="Y124" s="377"/>
      <c r="Z124" s="377"/>
    </row>
    <row r="125" spans="1:26" ht="18" customHeight="1">
      <c r="A125" s="317"/>
      <c r="B125" s="317"/>
      <c r="C125" s="317"/>
      <c r="D125" s="317"/>
      <c r="E125" s="317"/>
      <c r="F125" s="317"/>
      <c r="G125" s="317"/>
      <c r="H125" s="377"/>
      <c r="I125" s="377"/>
      <c r="J125" s="377"/>
      <c r="K125" s="377"/>
      <c r="L125" s="377"/>
      <c r="M125" s="377"/>
      <c r="N125" s="377"/>
      <c r="O125" s="377"/>
      <c r="P125" s="377"/>
      <c r="Q125" s="377"/>
      <c r="R125" s="377"/>
      <c r="S125" s="377"/>
      <c r="T125" s="377"/>
      <c r="U125" s="377"/>
      <c r="V125" s="377"/>
      <c r="W125" s="377"/>
      <c r="X125" s="377"/>
      <c r="Y125" s="377"/>
      <c r="Z125" s="377"/>
    </row>
    <row r="126" spans="1:26" ht="18" customHeight="1">
      <c r="A126" s="317"/>
      <c r="B126" s="317"/>
      <c r="C126" s="317"/>
      <c r="D126" s="317"/>
      <c r="E126" s="317"/>
      <c r="F126" s="317"/>
      <c r="G126" s="317"/>
      <c r="H126" s="377"/>
      <c r="I126" s="377"/>
      <c r="J126" s="377"/>
      <c r="K126" s="377"/>
      <c r="L126" s="377"/>
      <c r="M126" s="377"/>
      <c r="N126" s="377"/>
      <c r="O126" s="377"/>
      <c r="P126" s="377"/>
      <c r="Q126" s="377"/>
      <c r="R126" s="377"/>
      <c r="S126" s="377"/>
      <c r="T126" s="377"/>
      <c r="U126" s="377"/>
      <c r="V126" s="377"/>
      <c r="W126" s="377"/>
      <c r="X126" s="377"/>
      <c r="Y126" s="377"/>
      <c r="Z126" s="377"/>
    </row>
    <row r="127" spans="1:26" ht="18" customHeight="1">
      <c r="A127" s="317"/>
      <c r="B127" s="317"/>
      <c r="C127" s="317"/>
      <c r="D127" s="317"/>
      <c r="E127" s="317"/>
      <c r="F127" s="317"/>
      <c r="G127" s="317"/>
      <c r="H127" s="377"/>
      <c r="I127" s="377"/>
      <c r="J127" s="377"/>
      <c r="K127" s="377"/>
      <c r="L127" s="377"/>
      <c r="M127" s="377"/>
      <c r="N127" s="377"/>
      <c r="O127" s="377"/>
      <c r="P127" s="377"/>
      <c r="Q127" s="377"/>
      <c r="R127" s="377"/>
      <c r="S127" s="377"/>
      <c r="T127" s="377"/>
      <c r="U127" s="377"/>
      <c r="V127" s="377"/>
      <c r="W127" s="377"/>
      <c r="X127" s="377"/>
      <c r="Y127" s="377"/>
      <c r="Z127" s="377"/>
    </row>
    <row r="128" spans="1:26" ht="18" customHeight="1">
      <c r="A128" s="317"/>
      <c r="B128" s="317"/>
      <c r="C128" s="317"/>
      <c r="D128" s="317"/>
      <c r="E128" s="317"/>
      <c r="F128" s="317"/>
      <c r="G128" s="317"/>
      <c r="H128" s="377"/>
      <c r="I128" s="377"/>
      <c r="J128" s="377"/>
      <c r="K128" s="377"/>
      <c r="L128" s="377"/>
      <c r="M128" s="377"/>
      <c r="N128" s="377"/>
      <c r="O128" s="377"/>
      <c r="P128" s="377"/>
      <c r="Q128" s="377"/>
      <c r="R128" s="377"/>
      <c r="S128" s="377"/>
      <c r="T128" s="377"/>
      <c r="U128" s="377"/>
      <c r="V128" s="377"/>
      <c r="W128" s="377"/>
      <c r="X128" s="377"/>
      <c r="Y128" s="377"/>
      <c r="Z128" s="377"/>
    </row>
    <row r="129" spans="1:26" ht="18" customHeight="1">
      <c r="A129" s="317"/>
      <c r="B129" s="317"/>
      <c r="C129" s="317"/>
      <c r="D129" s="317"/>
      <c r="E129" s="317"/>
      <c r="F129" s="317"/>
      <c r="G129" s="317"/>
      <c r="H129" s="377"/>
      <c r="I129" s="377"/>
      <c r="J129" s="377"/>
      <c r="K129" s="377"/>
      <c r="L129" s="377"/>
      <c r="M129" s="377"/>
      <c r="N129" s="377"/>
      <c r="O129" s="377"/>
      <c r="P129" s="377"/>
      <c r="Q129" s="377"/>
      <c r="R129" s="377"/>
      <c r="S129" s="377"/>
      <c r="T129" s="377"/>
      <c r="U129" s="377"/>
      <c r="V129" s="377"/>
      <c r="W129" s="377"/>
      <c r="X129" s="377"/>
      <c r="Y129" s="377"/>
      <c r="Z129" s="377"/>
    </row>
    <row r="130" spans="1:26" ht="18" customHeight="1">
      <c r="A130" s="317"/>
      <c r="B130" s="317"/>
      <c r="C130" s="317"/>
      <c r="D130" s="317"/>
      <c r="E130" s="317"/>
      <c r="F130" s="317"/>
      <c r="G130" s="317"/>
      <c r="H130" s="377"/>
      <c r="I130" s="377"/>
      <c r="J130" s="377"/>
      <c r="K130" s="377"/>
      <c r="L130" s="377"/>
      <c r="M130" s="377"/>
      <c r="N130" s="377"/>
      <c r="O130" s="377"/>
      <c r="P130" s="377"/>
      <c r="Q130" s="377"/>
      <c r="R130" s="377"/>
      <c r="S130" s="377"/>
      <c r="T130" s="377"/>
      <c r="U130" s="377"/>
      <c r="V130" s="377"/>
      <c r="W130" s="377"/>
      <c r="X130" s="377"/>
      <c r="Y130" s="377"/>
      <c r="Z130" s="377"/>
    </row>
    <row r="131" spans="1:26" ht="18" customHeight="1">
      <c r="A131" s="317"/>
      <c r="B131" s="317"/>
      <c r="C131" s="317"/>
      <c r="D131" s="317"/>
      <c r="E131" s="317"/>
      <c r="F131" s="317"/>
      <c r="G131" s="317"/>
      <c r="H131" s="377"/>
      <c r="I131" s="377"/>
      <c r="J131" s="377"/>
      <c r="K131" s="377"/>
      <c r="L131" s="377"/>
      <c r="M131" s="377"/>
      <c r="N131" s="377"/>
      <c r="O131" s="377"/>
      <c r="P131" s="377"/>
      <c r="Q131" s="377"/>
      <c r="R131" s="377"/>
      <c r="S131" s="377"/>
      <c r="T131" s="377"/>
      <c r="U131" s="377"/>
      <c r="V131" s="377"/>
      <c r="W131" s="377"/>
      <c r="X131" s="377"/>
      <c r="Y131" s="377"/>
      <c r="Z131" s="377"/>
    </row>
    <row r="132" spans="1:26" ht="18" customHeight="1">
      <c r="A132" s="317"/>
      <c r="B132" s="317"/>
      <c r="C132" s="317"/>
      <c r="D132" s="317"/>
      <c r="E132" s="317"/>
      <c r="F132" s="317"/>
      <c r="G132" s="317"/>
      <c r="H132" s="377"/>
      <c r="I132" s="377"/>
      <c r="J132" s="377"/>
      <c r="K132" s="377"/>
      <c r="L132" s="377"/>
      <c r="M132" s="377"/>
      <c r="N132" s="377"/>
      <c r="O132" s="377"/>
      <c r="P132" s="377"/>
      <c r="Q132" s="377"/>
      <c r="R132" s="377"/>
      <c r="S132" s="377"/>
      <c r="T132" s="377"/>
      <c r="U132" s="377"/>
      <c r="V132" s="377"/>
      <c r="W132" s="377"/>
      <c r="X132" s="377"/>
      <c r="Y132" s="377"/>
      <c r="Z132" s="377"/>
    </row>
    <row r="133" spans="1:26" ht="18" customHeight="1">
      <c r="A133" s="317"/>
      <c r="B133" s="317"/>
      <c r="C133" s="317"/>
      <c r="D133" s="317"/>
      <c r="E133" s="317"/>
      <c r="F133" s="317"/>
      <c r="G133" s="317"/>
      <c r="H133" s="377"/>
      <c r="I133" s="377"/>
      <c r="J133" s="377"/>
      <c r="K133" s="377"/>
      <c r="L133" s="377"/>
      <c r="M133" s="377"/>
      <c r="N133" s="377"/>
      <c r="O133" s="377"/>
      <c r="P133" s="377"/>
      <c r="Q133" s="377"/>
      <c r="R133" s="377"/>
      <c r="S133" s="377"/>
      <c r="T133" s="377"/>
      <c r="U133" s="377"/>
      <c r="V133" s="377"/>
      <c r="W133" s="377"/>
      <c r="X133" s="377"/>
      <c r="Y133" s="377"/>
      <c r="Z133" s="377"/>
    </row>
    <row r="134" spans="1:26" ht="18" customHeight="1">
      <c r="A134" s="317"/>
      <c r="B134" s="317"/>
      <c r="C134" s="317"/>
      <c r="D134" s="317"/>
      <c r="E134" s="317"/>
      <c r="F134" s="317"/>
      <c r="G134" s="317"/>
      <c r="H134" s="377"/>
      <c r="I134" s="377"/>
      <c r="J134" s="377"/>
      <c r="K134" s="377"/>
      <c r="L134" s="377"/>
      <c r="M134" s="377"/>
      <c r="N134" s="377"/>
      <c r="O134" s="377"/>
      <c r="P134" s="377"/>
      <c r="Q134" s="377"/>
      <c r="R134" s="377"/>
      <c r="S134" s="377"/>
      <c r="T134" s="377"/>
      <c r="U134" s="377"/>
      <c r="V134" s="377"/>
      <c r="W134" s="377"/>
      <c r="X134" s="377"/>
      <c r="Y134" s="377"/>
      <c r="Z134" s="377"/>
    </row>
    <row r="135" spans="1:26" ht="18" customHeight="1">
      <c r="A135" s="317"/>
      <c r="B135" s="317"/>
      <c r="C135" s="317"/>
      <c r="D135" s="317"/>
      <c r="E135" s="317"/>
      <c r="F135" s="317"/>
      <c r="G135" s="317"/>
      <c r="H135" s="377"/>
      <c r="I135" s="377"/>
      <c r="J135" s="377"/>
      <c r="K135" s="377"/>
      <c r="L135" s="377"/>
      <c r="M135" s="377"/>
      <c r="N135" s="377"/>
      <c r="O135" s="377"/>
      <c r="P135" s="377"/>
      <c r="Q135" s="377"/>
      <c r="R135" s="377"/>
      <c r="S135" s="377"/>
      <c r="T135" s="377"/>
      <c r="U135" s="377"/>
      <c r="V135" s="377"/>
      <c r="W135" s="377"/>
      <c r="X135" s="377"/>
      <c r="Y135" s="377"/>
      <c r="Z135" s="377"/>
    </row>
    <row r="136" spans="1:26" ht="18" customHeight="1">
      <c r="A136" s="317"/>
      <c r="B136" s="317"/>
      <c r="C136" s="317"/>
      <c r="D136" s="317"/>
      <c r="E136" s="317"/>
      <c r="F136" s="317"/>
      <c r="G136" s="317"/>
      <c r="H136" s="377"/>
      <c r="I136" s="377"/>
      <c r="J136" s="377"/>
      <c r="K136" s="377"/>
      <c r="L136" s="377"/>
      <c r="M136" s="377"/>
      <c r="N136" s="377"/>
      <c r="O136" s="377"/>
      <c r="P136" s="377"/>
      <c r="Q136" s="377"/>
      <c r="R136" s="377"/>
      <c r="S136" s="377"/>
      <c r="T136" s="377"/>
      <c r="U136" s="377"/>
      <c r="V136" s="377"/>
      <c r="W136" s="377"/>
      <c r="X136" s="377"/>
      <c r="Y136" s="377"/>
      <c r="Z136" s="377"/>
    </row>
    <row r="137" spans="1:26" ht="18" customHeight="1">
      <c r="A137" s="317"/>
      <c r="B137" s="317"/>
      <c r="C137" s="317"/>
      <c r="D137" s="317"/>
      <c r="E137" s="317"/>
      <c r="F137" s="317"/>
      <c r="G137" s="317"/>
      <c r="H137" s="377"/>
      <c r="I137" s="377"/>
      <c r="J137" s="377"/>
      <c r="K137" s="377"/>
      <c r="L137" s="377"/>
      <c r="M137" s="377"/>
      <c r="N137" s="377"/>
      <c r="O137" s="377"/>
      <c r="P137" s="377"/>
      <c r="Q137" s="377"/>
      <c r="R137" s="377"/>
      <c r="S137" s="377"/>
      <c r="T137" s="377"/>
      <c r="U137" s="377"/>
      <c r="V137" s="377"/>
      <c r="W137" s="377"/>
      <c r="X137" s="377"/>
      <c r="Y137" s="377"/>
      <c r="Z137" s="377"/>
    </row>
    <row r="138" spans="1:26" ht="18" customHeight="1">
      <c r="A138" s="317"/>
      <c r="B138" s="317"/>
      <c r="C138" s="317"/>
      <c r="D138" s="317"/>
      <c r="E138" s="317"/>
      <c r="F138" s="317"/>
      <c r="G138" s="317"/>
      <c r="H138" s="377"/>
      <c r="I138" s="377"/>
      <c r="J138" s="377"/>
      <c r="K138" s="377"/>
      <c r="L138" s="377"/>
      <c r="M138" s="377"/>
      <c r="N138" s="377"/>
      <c r="O138" s="377"/>
      <c r="P138" s="377"/>
      <c r="Q138" s="377"/>
      <c r="R138" s="377"/>
      <c r="S138" s="377"/>
      <c r="T138" s="377"/>
      <c r="U138" s="377"/>
      <c r="V138" s="377"/>
      <c r="W138" s="377"/>
      <c r="X138" s="377"/>
      <c r="Y138" s="377"/>
      <c r="Z138" s="377"/>
    </row>
    <row r="139" spans="1:26" ht="18" customHeight="1">
      <c r="A139" s="317"/>
      <c r="B139" s="317"/>
      <c r="C139" s="317"/>
      <c r="D139" s="317"/>
      <c r="E139" s="317"/>
      <c r="F139" s="317"/>
      <c r="G139" s="317"/>
      <c r="H139" s="377"/>
      <c r="I139" s="377"/>
      <c r="J139" s="377"/>
      <c r="K139" s="377"/>
      <c r="L139" s="377"/>
      <c r="M139" s="377"/>
      <c r="N139" s="377"/>
      <c r="O139" s="377"/>
      <c r="P139" s="377"/>
      <c r="Q139" s="377"/>
      <c r="R139" s="377"/>
      <c r="S139" s="377"/>
      <c r="T139" s="377"/>
      <c r="U139" s="377"/>
      <c r="V139" s="377"/>
      <c r="W139" s="377"/>
      <c r="X139" s="377"/>
      <c r="Y139" s="377"/>
      <c r="Z139" s="377"/>
    </row>
    <row r="140" spans="1:26" ht="18" customHeight="1">
      <c r="A140" s="317"/>
      <c r="B140" s="317"/>
      <c r="C140" s="317"/>
      <c r="D140" s="317"/>
      <c r="E140" s="317"/>
      <c r="F140" s="317"/>
      <c r="G140" s="317"/>
      <c r="H140" s="377"/>
      <c r="I140" s="377"/>
      <c r="J140" s="377"/>
      <c r="K140" s="377"/>
      <c r="L140" s="377"/>
      <c r="M140" s="377"/>
      <c r="N140" s="377"/>
      <c r="O140" s="377"/>
      <c r="P140" s="377"/>
      <c r="Q140" s="377"/>
      <c r="R140" s="377"/>
      <c r="S140" s="377"/>
      <c r="T140" s="377"/>
      <c r="U140" s="377"/>
      <c r="V140" s="377"/>
      <c r="W140" s="377"/>
      <c r="X140" s="377"/>
      <c r="Y140" s="377"/>
      <c r="Z140" s="377"/>
    </row>
    <row r="141" spans="1:26" ht="18" customHeight="1">
      <c r="A141" s="317"/>
      <c r="B141" s="317"/>
      <c r="C141" s="317"/>
      <c r="D141" s="317"/>
      <c r="E141" s="317"/>
      <c r="F141" s="317"/>
      <c r="G141" s="317"/>
      <c r="H141" s="377"/>
      <c r="I141" s="377"/>
      <c r="J141" s="377"/>
      <c r="K141" s="377"/>
      <c r="L141" s="377"/>
      <c r="M141" s="377"/>
      <c r="N141" s="377"/>
      <c r="O141" s="377"/>
      <c r="P141" s="377"/>
      <c r="Q141" s="377"/>
      <c r="R141" s="377"/>
      <c r="S141" s="377"/>
      <c r="T141" s="377"/>
      <c r="U141" s="377"/>
      <c r="V141" s="377"/>
      <c r="W141" s="377"/>
      <c r="X141" s="377"/>
      <c r="Y141" s="377"/>
      <c r="Z141" s="377"/>
    </row>
    <row r="142" spans="1:26" ht="18" customHeight="1">
      <c r="A142" s="317"/>
      <c r="B142" s="317"/>
      <c r="C142" s="317"/>
      <c r="D142" s="317"/>
      <c r="E142" s="317"/>
      <c r="F142" s="317"/>
      <c r="G142" s="317"/>
      <c r="H142" s="377"/>
      <c r="I142" s="377"/>
      <c r="J142" s="377"/>
      <c r="K142" s="377"/>
      <c r="L142" s="377"/>
      <c r="M142" s="377"/>
      <c r="N142" s="377"/>
      <c r="O142" s="377"/>
      <c r="P142" s="377"/>
      <c r="Q142" s="377"/>
      <c r="R142" s="377"/>
      <c r="S142" s="377"/>
      <c r="T142" s="377"/>
      <c r="U142" s="377"/>
      <c r="V142" s="377"/>
      <c r="W142" s="377"/>
      <c r="X142" s="377"/>
      <c r="Y142" s="377"/>
      <c r="Z142" s="377"/>
    </row>
    <row r="143" spans="1:26" ht="18" customHeight="1">
      <c r="A143" s="317"/>
      <c r="B143" s="317"/>
      <c r="C143" s="317"/>
      <c r="D143" s="317"/>
      <c r="E143" s="317"/>
      <c r="F143" s="317"/>
      <c r="G143" s="317"/>
      <c r="H143" s="377"/>
      <c r="I143" s="377"/>
      <c r="J143" s="377"/>
      <c r="K143" s="377"/>
      <c r="L143" s="377"/>
      <c r="M143" s="377"/>
      <c r="N143" s="377"/>
      <c r="O143" s="377"/>
      <c r="P143" s="377"/>
      <c r="Q143" s="377"/>
      <c r="R143" s="377"/>
      <c r="S143" s="377"/>
      <c r="T143" s="377"/>
      <c r="U143" s="377"/>
      <c r="V143" s="377"/>
      <c r="W143" s="377"/>
      <c r="X143" s="377"/>
      <c r="Y143" s="377"/>
      <c r="Z143" s="377"/>
    </row>
    <row r="144" spans="1:26" ht="18" customHeight="1">
      <c r="A144" s="317"/>
      <c r="B144" s="317"/>
      <c r="C144" s="317"/>
      <c r="D144" s="317"/>
      <c r="E144" s="317"/>
      <c r="F144" s="317"/>
      <c r="G144" s="317"/>
      <c r="H144" s="377"/>
      <c r="I144" s="377"/>
      <c r="J144" s="377"/>
      <c r="K144" s="377"/>
      <c r="L144" s="377"/>
      <c r="M144" s="377"/>
      <c r="N144" s="377"/>
      <c r="O144" s="377"/>
      <c r="P144" s="377"/>
      <c r="Q144" s="377"/>
      <c r="R144" s="377"/>
      <c r="S144" s="377"/>
      <c r="T144" s="377"/>
      <c r="U144" s="377"/>
      <c r="V144" s="377"/>
      <c r="W144" s="377"/>
      <c r="X144" s="377"/>
      <c r="Y144" s="377"/>
      <c r="Z144" s="377"/>
    </row>
    <row r="145" spans="1:26" ht="18" customHeight="1">
      <c r="A145" s="317"/>
      <c r="B145" s="317"/>
      <c r="C145" s="317"/>
      <c r="D145" s="317"/>
      <c r="E145" s="317"/>
      <c r="F145" s="317"/>
      <c r="G145" s="317"/>
      <c r="H145" s="377"/>
      <c r="I145" s="377"/>
      <c r="J145" s="377"/>
      <c r="K145" s="377"/>
      <c r="L145" s="377"/>
      <c r="M145" s="377"/>
      <c r="N145" s="377"/>
      <c r="O145" s="377"/>
      <c r="P145" s="377"/>
      <c r="Q145" s="377"/>
      <c r="R145" s="377"/>
      <c r="S145" s="377"/>
      <c r="T145" s="377"/>
      <c r="U145" s="377"/>
      <c r="V145" s="377"/>
      <c r="W145" s="377"/>
      <c r="X145" s="377"/>
      <c r="Y145" s="377"/>
      <c r="Z145" s="377"/>
    </row>
    <row r="146" spans="1:26" ht="18" customHeight="1">
      <c r="A146" s="317"/>
      <c r="B146" s="317"/>
      <c r="C146" s="317"/>
      <c r="D146" s="317"/>
      <c r="E146" s="317"/>
      <c r="F146" s="317"/>
      <c r="G146" s="317"/>
      <c r="H146" s="377"/>
      <c r="I146" s="377"/>
      <c r="J146" s="377"/>
      <c r="K146" s="377"/>
      <c r="L146" s="377"/>
      <c r="M146" s="377"/>
      <c r="N146" s="377"/>
      <c r="O146" s="377"/>
      <c r="P146" s="377"/>
      <c r="Q146" s="377"/>
      <c r="R146" s="377"/>
      <c r="S146" s="377"/>
      <c r="T146" s="377"/>
      <c r="U146" s="377"/>
      <c r="V146" s="377"/>
      <c r="W146" s="377"/>
      <c r="X146" s="377"/>
      <c r="Y146" s="377"/>
      <c r="Z146" s="377"/>
    </row>
    <row r="147" spans="1:26" ht="18" customHeight="1">
      <c r="A147" s="317"/>
      <c r="B147" s="317"/>
      <c r="C147" s="317"/>
      <c r="D147" s="317"/>
      <c r="E147" s="317"/>
      <c r="F147" s="317"/>
      <c r="G147" s="317"/>
      <c r="H147" s="377"/>
      <c r="I147" s="377"/>
      <c r="J147" s="377"/>
      <c r="K147" s="377"/>
      <c r="L147" s="377"/>
      <c r="M147" s="377"/>
      <c r="N147" s="377"/>
      <c r="O147" s="377"/>
      <c r="P147" s="377"/>
      <c r="Q147" s="377"/>
      <c r="R147" s="377"/>
      <c r="S147" s="377"/>
      <c r="T147" s="377"/>
      <c r="U147" s="377"/>
      <c r="V147" s="377"/>
      <c r="W147" s="377"/>
      <c r="X147" s="377"/>
      <c r="Y147" s="377"/>
      <c r="Z147" s="377"/>
    </row>
    <row r="148" spans="1:26" ht="18" customHeight="1">
      <c r="A148" s="317"/>
      <c r="B148" s="317"/>
      <c r="C148" s="317"/>
      <c r="D148" s="317"/>
      <c r="E148" s="317"/>
      <c r="F148" s="317"/>
      <c r="G148" s="317"/>
      <c r="H148" s="377"/>
      <c r="I148" s="377"/>
      <c r="J148" s="377"/>
      <c r="K148" s="377"/>
      <c r="L148" s="377"/>
      <c r="M148" s="377"/>
      <c r="N148" s="377"/>
      <c r="O148" s="377"/>
      <c r="P148" s="377"/>
      <c r="Q148" s="377"/>
      <c r="R148" s="377"/>
      <c r="S148" s="377"/>
      <c r="T148" s="377"/>
      <c r="U148" s="377"/>
      <c r="V148" s="377"/>
      <c r="W148" s="377"/>
      <c r="X148" s="377"/>
      <c r="Y148" s="377"/>
      <c r="Z148" s="377"/>
    </row>
    <row r="149" spans="1:26" ht="18">
      <c r="A149" s="317"/>
      <c r="B149" s="317"/>
      <c r="C149" s="317"/>
      <c r="D149" s="317"/>
      <c r="E149" s="317"/>
      <c r="F149" s="317"/>
      <c r="G149" s="317"/>
    </row>
    <row r="150" spans="1:26" ht="18">
      <c r="A150" s="317"/>
      <c r="B150" s="317"/>
      <c r="C150" s="317"/>
      <c r="D150" s="317"/>
      <c r="E150" s="317"/>
      <c r="F150" s="317"/>
      <c r="G150" s="317"/>
    </row>
    <row r="151" spans="1:26" ht="18">
      <c r="A151" s="317"/>
      <c r="B151" s="317"/>
      <c r="C151" s="317"/>
      <c r="D151" s="317"/>
      <c r="E151" s="317"/>
      <c r="F151" s="317"/>
      <c r="G151" s="317"/>
    </row>
    <row r="152" spans="1:26" ht="18">
      <c r="A152" s="317"/>
      <c r="B152" s="317"/>
      <c r="C152" s="317"/>
      <c r="D152" s="317"/>
      <c r="E152" s="317"/>
      <c r="F152" s="317"/>
      <c r="G152" s="317"/>
    </row>
    <row r="153" spans="1:26" ht="18">
      <c r="A153" s="317"/>
      <c r="B153" s="317"/>
      <c r="C153" s="317"/>
      <c r="D153" s="317"/>
      <c r="E153" s="317"/>
      <c r="F153" s="317"/>
      <c r="G153" s="317"/>
    </row>
    <row r="154" spans="1:26" ht="18">
      <c r="A154" s="317"/>
      <c r="B154" s="317"/>
      <c r="C154" s="317"/>
      <c r="D154" s="317"/>
      <c r="E154" s="317"/>
      <c r="F154" s="317"/>
      <c r="G154" s="317"/>
    </row>
    <row r="155" spans="1:26" ht="18">
      <c r="A155" s="317"/>
      <c r="B155" s="317"/>
      <c r="C155" s="317"/>
      <c r="D155" s="317"/>
      <c r="E155" s="317"/>
      <c r="F155" s="317"/>
      <c r="G155" s="317"/>
    </row>
    <row r="156" spans="1:26" ht="18">
      <c r="A156" s="317"/>
      <c r="B156" s="317"/>
      <c r="C156" s="317"/>
      <c r="D156" s="317"/>
      <c r="E156" s="317"/>
      <c r="F156" s="317"/>
      <c r="G156" s="317"/>
    </row>
    <row r="157" spans="1:26" ht="18">
      <c r="A157" s="317"/>
      <c r="B157" s="317"/>
      <c r="C157" s="317"/>
      <c r="D157" s="317"/>
      <c r="E157" s="317"/>
      <c r="F157" s="317"/>
      <c r="G157" s="317"/>
    </row>
    <row r="158" spans="1:26" ht="18">
      <c r="A158" s="317"/>
      <c r="B158" s="317"/>
      <c r="C158" s="317"/>
      <c r="D158" s="317"/>
      <c r="E158" s="317"/>
      <c r="F158" s="317"/>
      <c r="G158" s="317"/>
    </row>
    <row r="159" spans="1:26" ht="18">
      <c r="A159" s="317"/>
      <c r="B159" s="317"/>
      <c r="C159" s="317"/>
      <c r="D159" s="317"/>
      <c r="E159" s="317"/>
      <c r="F159" s="317"/>
      <c r="G159" s="317"/>
    </row>
    <row r="160" spans="1:26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 ht="18">
      <c r="A249" s="317"/>
      <c r="B249" s="317"/>
      <c r="C249" s="317"/>
      <c r="D249" s="317"/>
      <c r="E249" s="317"/>
      <c r="F249" s="317"/>
      <c r="G249" s="317"/>
    </row>
    <row r="250" spans="1:7" ht="18">
      <c r="A250" s="317"/>
      <c r="B250" s="317"/>
      <c r="C250" s="317"/>
      <c r="D250" s="317"/>
      <c r="E250" s="317"/>
      <c r="F250" s="317"/>
      <c r="G250" s="317"/>
    </row>
    <row r="251" spans="1:7" ht="18">
      <c r="A251" s="317"/>
      <c r="B251" s="317"/>
      <c r="C251" s="317"/>
      <c r="D251" s="317"/>
      <c r="E251" s="317"/>
      <c r="F251" s="317"/>
      <c r="G251" s="317"/>
    </row>
    <row r="252" spans="1:7" ht="18">
      <c r="A252" s="317"/>
      <c r="B252" s="317"/>
      <c r="C252" s="317"/>
      <c r="D252" s="317"/>
      <c r="E252" s="317"/>
      <c r="F252" s="317"/>
      <c r="G252" s="317"/>
    </row>
    <row r="253" spans="1:7" ht="18">
      <c r="A253" s="317"/>
      <c r="B253" s="317"/>
      <c r="C253" s="317"/>
      <c r="D253" s="317"/>
      <c r="E253" s="317"/>
      <c r="F253" s="317"/>
      <c r="G253" s="317"/>
    </row>
    <row r="254" spans="1:7" ht="18">
      <c r="A254" s="317"/>
      <c r="B254" s="317"/>
      <c r="C254" s="317"/>
      <c r="D254" s="317"/>
      <c r="E254" s="317"/>
      <c r="F254" s="317"/>
      <c r="G254" s="317"/>
    </row>
    <row r="255" spans="1:7" ht="18">
      <c r="A255" s="317"/>
      <c r="B255" s="317"/>
      <c r="C255" s="317"/>
      <c r="D255" s="317"/>
      <c r="E255" s="317"/>
      <c r="F255" s="317"/>
      <c r="G255" s="317"/>
    </row>
    <row r="256" spans="1:7" ht="18">
      <c r="A256" s="317"/>
      <c r="B256" s="317"/>
      <c r="C256" s="317"/>
      <c r="D256" s="317"/>
      <c r="E256" s="317"/>
      <c r="F256" s="317"/>
      <c r="G256" s="31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  <row r="994" spans="1:7">
      <c r="A994" s="377"/>
      <c r="B994" s="377"/>
      <c r="C994" s="377"/>
      <c r="D994" s="377"/>
      <c r="E994" s="377"/>
      <c r="F994" s="377"/>
      <c r="G994" s="377"/>
    </row>
    <row r="995" spans="1:7">
      <c r="A995" s="377"/>
      <c r="B995" s="377"/>
      <c r="C995" s="377"/>
      <c r="D995" s="377"/>
      <c r="E995" s="377"/>
      <c r="F995" s="377"/>
      <c r="G995" s="377"/>
    </row>
  </sheetData>
  <sheetProtection algorithmName="SHA-512" hashValue="uDYhGyuopzr6ADpeQlIJIpN3aRtwWrH0LGXoPBA/W60GGZYWGNm7soXKfk2N+/VEcJy+WVwnSnhJdwoT+rtZ7w==" saltValue="NVDXjV+GU+r0dsOGQM+pGA==" spinCount="100000" sheet="1" objects="1" scenarios="1"/>
  <mergeCells count="17">
    <mergeCell ref="B77:D77"/>
    <mergeCell ref="F77:G77"/>
    <mergeCell ref="A80:G80"/>
    <mergeCell ref="B61:D61"/>
    <mergeCell ref="F61:G61"/>
    <mergeCell ref="B62:D62"/>
    <mergeCell ref="F62:G62"/>
    <mergeCell ref="B76:D76"/>
    <mergeCell ref="F76:G76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10"/>
  <sheetViews>
    <sheetView workbookViewId="0">
      <selection activeCell="A9" sqref="A9"/>
    </sheetView>
  </sheetViews>
  <sheetFormatPr defaultRowHeight="15"/>
  <sheetData>
    <row r="1" spans="1:1" ht="23.45" customHeight="1">
      <c r="A1" s="1" t="s">
        <v>8</v>
      </c>
    </row>
    <row r="3" spans="1:1">
      <c r="A3" t="s">
        <v>9</v>
      </c>
    </row>
    <row r="5" spans="1:1">
      <c r="A5" t="s">
        <v>10</v>
      </c>
    </row>
    <row r="6" spans="1:1">
      <c r="A6" s="2" t="s">
        <v>11</v>
      </c>
    </row>
    <row r="9" spans="1:1">
      <c r="A9" t="s">
        <v>12</v>
      </c>
    </row>
    <row r="10" spans="1:1">
      <c r="A10">
        <v>47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06EE6-3A5E-4AB9-B916-072C1B912904}">
  <dimension ref="A1:G1007"/>
  <sheetViews>
    <sheetView topLeftCell="A55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6" width="16.42578125" style="314" customWidth="1"/>
    <col min="7" max="7" width="17.28515625" style="314" customWidth="1"/>
    <col min="8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5" t="s">
        <v>215</v>
      </c>
      <c r="B5" s="315"/>
      <c r="C5" s="315"/>
      <c r="D5" s="315"/>
      <c r="E5" s="396"/>
      <c r="F5" s="315"/>
      <c r="G5" s="315"/>
    </row>
    <row r="6" spans="1:7" ht="16.5" thickTop="1" thickBot="1">
      <c r="A6" s="1228" t="s">
        <v>16</v>
      </c>
      <c r="B6" s="1228" t="s">
        <v>17</v>
      </c>
      <c r="C6" s="1230" t="s">
        <v>648</v>
      </c>
      <c r="D6" s="1231" t="s">
        <v>649</v>
      </c>
      <c r="E6" s="1242"/>
      <c r="F6" s="1243"/>
      <c r="G6" s="1228" t="s">
        <v>650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5"/>
      <c r="C10" s="325"/>
      <c r="D10" s="325"/>
      <c r="E10" s="325"/>
      <c r="F10" s="325"/>
      <c r="G10" s="380"/>
    </row>
    <row r="11" spans="1:7" ht="18">
      <c r="A11" s="328" t="s">
        <v>34</v>
      </c>
      <c r="B11" s="329"/>
      <c r="C11" s="330"/>
      <c r="D11" s="330"/>
      <c r="E11" s="330"/>
      <c r="F11" s="330"/>
      <c r="G11" s="381"/>
    </row>
    <row r="12" spans="1:7" ht="18">
      <c r="A12" s="333" t="s">
        <v>35</v>
      </c>
      <c r="B12" s="334"/>
      <c r="C12" s="335"/>
      <c r="D12" s="335"/>
      <c r="E12" s="335"/>
      <c r="F12" s="335"/>
      <c r="G12" s="383"/>
    </row>
    <row r="13" spans="1:7" ht="18">
      <c r="A13" s="338" t="s">
        <v>36</v>
      </c>
      <c r="B13" s="339" t="s">
        <v>37</v>
      </c>
      <c r="C13" s="36">
        <v>2566032</v>
      </c>
      <c r="D13" s="36">
        <v>1283016</v>
      </c>
      <c r="E13" s="36">
        <f>F13-D13</f>
        <v>2080644</v>
      </c>
      <c r="F13" s="37">
        <v>3363660</v>
      </c>
      <c r="G13" s="37">
        <v>3589989</v>
      </c>
    </row>
    <row r="14" spans="1:7" ht="18">
      <c r="A14" s="338" t="s">
        <v>216</v>
      </c>
      <c r="B14" s="339" t="s">
        <v>39</v>
      </c>
      <c r="C14" s="38">
        <v>0</v>
      </c>
      <c r="D14" s="38">
        <v>311408.90000000002</v>
      </c>
      <c r="E14" s="38">
        <v>0</v>
      </c>
      <c r="F14" s="37">
        <v>624000</v>
      </c>
      <c r="G14" s="37">
        <v>660060</v>
      </c>
    </row>
    <row r="15" spans="1:7" ht="18">
      <c r="A15" s="340" t="s">
        <v>40</v>
      </c>
      <c r="B15" s="339"/>
      <c r="C15" s="36"/>
      <c r="D15" s="36"/>
      <c r="E15" s="36"/>
      <c r="F15" s="37"/>
      <c r="G15" s="37"/>
    </row>
    <row r="16" spans="1:7" ht="18">
      <c r="A16" s="338" t="s">
        <v>41</v>
      </c>
      <c r="B16" s="339" t="s">
        <v>42</v>
      </c>
      <c r="C16" s="36">
        <v>144000</v>
      </c>
      <c r="D16" s="36">
        <v>119909.11</v>
      </c>
      <c r="E16" s="36">
        <f t="shared" ref="E16:E19" si="0">F16-D16</f>
        <v>168090.89</v>
      </c>
      <c r="F16" s="37">
        <v>288000</v>
      </c>
      <c r="G16" s="37">
        <v>288000</v>
      </c>
    </row>
    <row r="17" spans="1:7" ht="18">
      <c r="A17" s="338" t="s">
        <v>43</v>
      </c>
      <c r="B17" s="339" t="s">
        <v>44</v>
      </c>
      <c r="C17" s="36">
        <v>90000</v>
      </c>
      <c r="D17" s="36">
        <v>45000</v>
      </c>
      <c r="E17" s="36">
        <f t="shared" si="0"/>
        <v>45000</v>
      </c>
      <c r="F17" s="37">
        <v>90000</v>
      </c>
      <c r="G17" s="37">
        <v>102000</v>
      </c>
    </row>
    <row r="18" spans="1:7" ht="18">
      <c r="A18" s="338" t="s">
        <v>45</v>
      </c>
      <c r="B18" s="339" t="s">
        <v>46</v>
      </c>
      <c r="C18" s="36">
        <v>90000</v>
      </c>
      <c r="D18" s="36">
        <v>45000</v>
      </c>
      <c r="E18" s="36">
        <f>F18-D18</f>
        <v>45000</v>
      </c>
      <c r="F18" s="37">
        <v>90000</v>
      </c>
      <c r="G18" s="37">
        <v>102000</v>
      </c>
    </row>
    <row r="19" spans="1:7" ht="18">
      <c r="A19" s="338" t="s">
        <v>47</v>
      </c>
      <c r="B19" s="339" t="s">
        <v>48</v>
      </c>
      <c r="C19" s="36">
        <v>36000</v>
      </c>
      <c r="D19" s="38">
        <v>54000</v>
      </c>
      <c r="E19" s="36">
        <f t="shared" si="0"/>
        <v>18000</v>
      </c>
      <c r="F19" s="37">
        <v>72000</v>
      </c>
      <c r="G19" s="37">
        <v>84000</v>
      </c>
    </row>
    <row r="20" spans="1:7" ht="18">
      <c r="A20" s="338" t="s">
        <v>49</v>
      </c>
      <c r="B20" s="339" t="s">
        <v>50</v>
      </c>
      <c r="C20" s="38">
        <v>30000</v>
      </c>
      <c r="D20" s="38">
        <v>0</v>
      </c>
      <c r="E20" s="38">
        <v>40000</v>
      </c>
      <c r="F20" s="37">
        <v>60000</v>
      </c>
      <c r="G20" s="37">
        <v>60000</v>
      </c>
    </row>
    <row r="21" spans="1:7" ht="18">
      <c r="A21" s="338" t="s">
        <v>53</v>
      </c>
      <c r="B21" s="339" t="s">
        <v>54</v>
      </c>
      <c r="C21" s="36">
        <v>213836</v>
      </c>
      <c r="D21" s="38">
        <v>0</v>
      </c>
      <c r="E21" s="36">
        <f t="shared" ref="E21:E23" si="1">F21-D21</f>
        <v>332305</v>
      </c>
      <c r="F21" s="211">
        <v>332305</v>
      </c>
      <c r="G21" s="211">
        <v>363227</v>
      </c>
    </row>
    <row r="22" spans="1:7" ht="18">
      <c r="A22" s="338" t="s">
        <v>55</v>
      </c>
      <c r="B22" s="339" t="s">
        <v>56</v>
      </c>
      <c r="C22" s="36">
        <v>30000</v>
      </c>
      <c r="D22" s="38">
        <v>0</v>
      </c>
      <c r="E22" s="36">
        <f t="shared" si="1"/>
        <v>60000</v>
      </c>
      <c r="F22" s="37">
        <v>60000</v>
      </c>
      <c r="G22" s="37">
        <v>60000</v>
      </c>
    </row>
    <row r="23" spans="1:7" ht="18">
      <c r="A23" s="338" t="s">
        <v>57</v>
      </c>
      <c r="B23" s="339" t="s">
        <v>58</v>
      </c>
      <c r="C23" s="36">
        <v>213836</v>
      </c>
      <c r="D23" s="36">
        <v>265836</v>
      </c>
      <c r="E23" s="36">
        <f t="shared" si="1"/>
        <v>66469</v>
      </c>
      <c r="F23" s="397">
        <v>332305</v>
      </c>
      <c r="G23" s="397">
        <v>347702</v>
      </c>
    </row>
    <row r="24" spans="1:7" ht="18">
      <c r="A24" s="338" t="s">
        <v>557</v>
      </c>
      <c r="B24" s="339" t="s">
        <v>58</v>
      </c>
      <c r="C24" s="36">
        <v>0</v>
      </c>
      <c r="D24" s="36">
        <v>0</v>
      </c>
      <c r="E24" s="36"/>
      <c r="F24" s="397"/>
      <c r="G24" s="397">
        <v>84000</v>
      </c>
    </row>
    <row r="25" spans="1:7" ht="18">
      <c r="A25" s="340" t="s">
        <v>59</v>
      </c>
      <c r="B25" s="339"/>
      <c r="C25" s="36"/>
      <c r="D25" s="36"/>
      <c r="E25" s="36"/>
      <c r="F25" s="37"/>
      <c r="G25" s="37"/>
    </row>
    <row r="26" spans="1:7" ht="18">
      <c r="A26" s="338" t="s">
        <v>60</v>
      </c>
      <c r="B26" s="339" t="s">
        <v>61</v>
      </c>
      <c r="C26" s="36">
        <v>307923.84000000003</v>
      </c>
      <c r="D26" s="36">
        <v>191301.27</v>
      </c>
      <c r="E26" s="36">
        <f t="shared" ref="E26:E29" si="2">F26-D26</f>
        <v>287217.93000000005</v>
      </c>
      <c r="F26" s="211">
        <v>478519.2</v>
      </c>
      <c r="G26" s="211">
        <v>510005.88</v>
      </c>
    </row>
    <row r="27" spans="1:7" ht="18">
      <c r="A27" s="338" t="s">
        <v>62</v>
      </c>
      <c r="B27" s="339" t="s">
        <v>63</v>
      </c>
      <c r="C27" s="36">
        <v>7200</v>
      </c>
      <c r="D27" s="36">
        <v>11000</v>
      </c>
      <c r="E27" s="36">
        <f t="shared" si="2"/>
        <v>3800</v>
      </c>
      <c r="F27" s="37">
        <v>14800</v>
      </c>
      <c r="G27" s="37">
        <v>28800</v>
      </c>
    </row>
    <row r="28" spans="1:7" ht="18">
      <c r="A28" s="338" t="s">
        <v>64</v>
      </c>
      <c r="B28" s="339" t="s">
        <v>65</v>
      </c>
      <c r="C28" s="36">
        <v>48901.919999999998</v>
      </c>
      <c r="D28" s="36">
        <v>42840.63</v>
      </c>
      <c r="E28" s="36">
        <f t="shared" si="2"/>
        <v>46860.69000000001</v>
      </c>
      <c r="F28" s="211">
        <v>89701.32</v>
      </c>
      <c r="G28" s="211">
        <v>106251.23</v>
      </c>
    </row>
    <row r="29" spans="1:7" ht="18">
      <c r="A29" s="341" t="s">
        <v>66</v>
      </c>
      <c r="B29" s="342" t="s">
        <v>67</v>
      </c>
      <c r="C29" s="72">
        <v>7200</v>
      </c>
      <c r="D29" s="72">
        <v>6000</v>
      </c>
      <c r="E29" s="72">
        <f t="shared" si="2"/>
        <v>8800</v>
      </c>
      <c r="F29" s="123">
        <v>14800</v>
      </c>
      <c r="G29" s="123">
        <v>14800</v>
      </c>
    </row>
    <row r="30" spans="1:7" ht="18">
      <c r="A30" s="340" t="s">
        <v>68</v>
      </c>
      <c r="B30" s="344"/>
      <c r="C30" s="129"/>
      <c r="D30" s="129"/>
      <c r="E30" s="129"/>
      <c r="F30" s="121"/>
      <c r="G30" s="121"/>
    </row>
    <row r="31" spans="1:7" ht="18.75" thickBot="1">
      <c r="A31" s="338" t="s">
        <v>558</v>
      </c>
      <c r="B31" s="347" t="s">
        <v>520</v>
      </c>
      <c r="C31" s="48">
        <v>0</v>
      </c>
      <c r="D31" s="48">
        <v>0</v>
      </c>
      <c r="E31" s="48"/>
      <c r="F31" s="49"/>
      <c r="G31" s="49">
        <v>170684.45</v>
      </c>
    </row>
    <row r="32" spans="1:7" ht="19.5" thickTop="1" thickBot="1">
      <c r="A32" s="351" t="s">
        <v>71</v>
      </c>
      <c r="B32" s="352"/>
      <c r="C32" s="75">
        <f t="shared" ref="C32:F32" si="3">SUM(C13:C29)</f>
        <v>3784929.76</v>
      </c>
      <c r="D32" s="75">
        <f t="shared" si="3"/>
        <v>2375311.9099999997</v>
      </c>
      <c r="E32" s="75">
        <f t="shared" si="3"/>
        <v>3202187.5100000002</v>
      </c>
      <c r="F32" s="75">
        <f t="shared" si="3"/>
        <v>5910090.5200000005</v>
      </c>
      <c r="G32" s="77">
        <f>SUM(G13:G31)</f>
        <v>6571519.5600000005</v>
      </c>
    </row>
    <row r="33" spans="1:7" ht="18.75" thickTop="1">
      <c r="A33" s="355" t="s">
        <v>72</v>
      </c>
      <c r="B33" s="356"/>
      <c r="C33" s="249"/>
      <c r="D33" s="249"/>
      <c r="E33" s="249"/>
      <c r="F33" s="120"/>
      <c r="G33" s="218"/>
    </row>
    <row r="34" spans="1:7" ht="18">
      <c r="A34" s="359" t="s">
        <v>77</v>
      </c>
      <c r="B34" s="360" t="s">
        <v>78</v>
      </c>
      <c r="C34" s="38">
        <v>109356.4</v>
      </c>
      <c r="D34" s="38">
        <v>35030.300000000003</v>
      </c>
      <c r="E34" s="36">
        <f t="shared" ref="E34:E40" si="4">F34-D34</f>
        <v>114969.7</v>
      </c>
      <c r="F34" s="92">
        <v>150000</v>
      </c>
      <c r="G34" s="92">
        <v>0</v>
      </c>
    </row>
    <row r="35" spans="1:7" ht="18">
      <c r="A35" s="359" t="s">
        <v>81</v>
      </c>
      <c r="B35" s="360" t="s">
        <v>82</v>
      </c>
      <c r="C35" s="38">
        <v>0</v>
      </c>
      <c r="D35" s="38">
        <v>0</v>
      </c>
      <c r="E35" s="38">
        <v>0</v>
      </c>
      <c r="F35" s="38">
        <v>0</v>
      </c>
      <c r="G35" s="92">
        <v>50000</v>
      </c>
    </row>
    <row r="36" spans="1:7" ht="18">
      <c r="A36" s="359" t="s">
        <v>217</v>
      </c>
      <c r="B36" s="360" t="s">
        <v>84</v>
      </c>
      <c r="C36" s="38">
        <v>0</v>
      </c>
      <c r="D36" s="38">
        <v>30000</v>
      </c>
      <c r="E36" s="36">
        <f t="shared" si="4"/>
        <v>30000</v>
      </c>
      <c r="F36" s="92">
        <v>60000</v>
      </c>
      <c r="G36" s="92">
        <v>60000</v>
      </c>
    </row>
    <row r="37" spans="1:7" ht="18">
      <c r="A37" s="338" t="s">
        <v>85</v>
      </c>
      <c r="B37" s="339" t="s">
        <v>86</v>
      </c>
      <c r="C37" s="38">
        <v>66504.5</v>
      </c>
      <c r="D37" s="36">
        <v>64418</v>
      </c>
      <c r="E37" s="36">
        <f t="shared" si="4"/>
        <v>390082</v>
      </c>
      <c r="F37" s="37">
        <v>454500</v>
      </c>
      <c r="G37" s="37">
        <v>307960</v>
      </c>
    </row>
    <row r="38" spans="1:7" ht="18">
      <c r="A38" s="338" t="s">
        <v>199</v>
      </c>
      <c r="B38" s="398" t="s">
        <v>200</v>
      </c>
      <c r="C38" s="55">
        <v>12095687.470000001</v>
      </c>
      <c r="D38" s="36">
        <v>6982975</v>
      </c>
      <c r="E38" s="36">
        <f t="shared" si="4"/>
        <v>9121025</v>
      </c>
      <c r="F38" s="37">
        <v>16104000</v>
      </c>
      <c r="G38" s="37">
        <v>15836040</v>
      </c>
    </row>
    <row r="39" spans="1:7" ht="18">
      <c r="A39" s="338" t="s">
        <v>651</v>
      </c>
      <c r="B39" s="399" t="s">
        <v>97</v>
      </c>
      <c r="C39" s="400">
        <v>0</v>
      </c>
      <c r="D39" s="400">
        <v>0</v>
      </c>
      <c r="E39" s="400">
        <v>0</v>
      </c>
      <c r="F39" s="401">
        <v>0</v>
      </c>
      <c r="G39" s="123">
        <v>100000</v>
      </c>
    </row>
    <row r="40" spans="1:7" ht="18.75" thickBot="1">
      <c r="A40" s="338" t="s">
        <v>571</v>
      </c>
      <c r="B40" s="402" t="s">
        <v>101</v>
      </c>
      <c r="C40" s="400">
        <v>0</v>
      </c>
      <c r="D40" s="400">
        <v>29770</v>
      </c>
      <c r="E40" s="36">
        <f t="shared" si="4"/>
        <v>30230</v>
      </c>
      <c r="F40" s="45">
        <v>60000</v>
      </c>
      <c r="G40" s="45">
        <v>60000</v>
      </c>
    </row>
    <row r="41" spans="1:7" ht="19.5" thickTop="1" thickBot="1">
      <c r="A41" s="351" t="s">
        <v>162</v>
      </c>
      <c r="B41" s="367"/>
      <c r="C41" s="75">
        <f t="shared" ref="C41:E41" si="5">SUM(C34:C38)</f>
        <v>12271548.370000001</v>
      </c>
      <c r="D41" s="75">
        <f>SUM(D34:D40)</f>
        <v>7142193.2999999998</v>
      </c>
      <c r="E41" s="75">
        <f t="shared" si="5"/>
        <v>9656076.6999999993</v>
      </c>
      <c r="F41" s="75">
        <f>SUM(F34:F38)</f>
        <v>16768500</v>
      </c>
      <c r="G41" s="77">
        <f>SUM(G34:G40)</f>
        <v>16414000</v>
      </c>
    </row>
    <row r="42" spans="1:7" ht="18.75" thickTop="1">
      <c r="A42" s="403"/>
      <c r="B42" s="404"/>
      <c r="C42" s="405"/>
      <c r="D42" s="405"/>
      <c r="E42" s="405"/>
      <c r="F42" s="406"/>
      <c r="G42" s="407"/>
    </row>
    <row r="43" spans="1:7" ht="18">
      <c r="A43" s="408" t="s">
        <v>172</v>
      </c>
      <c r="B43" s="409"/>
      <c r="C43" s="104"/>
      <c r="D43" s="104"/>
      <c r="E43" s="104"/>
      <c r="F43" s="105"/>
      <c r="G43" s="410"/>
    </row>
    <row r="44" spans="1:7" ht="34.5">
      <c r="A44" s="411" t="s">
        <v>652</v>
      </c>
      <c r="B44" s="409"/>
      <c r="C44" s="104"/>
      <c r="D44" s="104"/>
      <c r="E44" s="104"/>
      <c r="F44" s="105"/>
      <c r="G44" s="410"/>
    </row>
    <row r="45" spans="1:7" ht="18">
      <c r="A45" s="355" t="s">
        <v>653</v>
      </c>
      <c r="B45" s="412"/>
      <c r="C45" s="104">
        <v>0</v>
      </c>
      <c r="D45" s="104">
        <v>0</v>
      </c>
      <c r="E45" s="104">
        <f>F45-D45</f>
        <v>40605602.850000001</v>
      </c>
      <c r="F45" s="105">
        <v>40605602.850000001</v>
      </c>
      <c r="G45" s="410">
        <v>44058886.189999998</v>
      </c>
    </row>
    <row r="46" spans="1:7" ht="18">
      <c r="A46" s="355" t="s">
        <v>654</v>
      </c>
      <c r="B46" s="412"/>
      <c r="C46" s="104"/>
      <c r="D46" s="104"/>
      <c r="E46" s="104"/>
      <c r="F46" s="105"/>
      <c r="G46" s="410"/>
    </row>
    <row r="47" spans="1:7" ht="18">
      <c r="A47" s="355" t="s">
        <v>575</v>
      </c>
      <c r="B47" s="412"/>
      <c r="C47" s="104">
        <v>18684751.809999999</v>
      </c>
      <c r="D47" s="104">
        <v>1296015.23</v>
      </c>
      <c r="E47" s="104">
        <f>F47-D47</f>
        <v>34206096.420000002</v>
      </c>
      <c r="F47" s="105">
        <v>35502111.649999999</v>
      </c>
      <c r="G47" s="410"/>
    </row>
    <row r="48" spans="1:7" ht="18">
      <c r="A48" s="338" t="s">
        <v>75</v>
      </c>
      <c r="B48" s="336" t="s">
        <v>76</v>
      </c>
      <c r="C48" s="104"/>
      <c r="D48" s="104"/>
      <c r="E48" s="104"/>
      <c r="F48" s="105"/>
      <c r="G48" s="92">
        <v>4500000</v>
      </c>
    </row>
    <row r="49" spans="1:7" ht="18">
      <c r="A49" s="338" t="s">
        <v>655</v>
      </c>
      <c r="B49" s="336" t="s">
        <v>656</v>
      </c>
      <c r="C49" s="104"/>
      <c r="D49" s="104"/>
      <c r="E49" s="104"/>
      <c r="F49" s="105"/>
      <c r="G49" s="92">
        <f>5000000+6000000</f>
        <v>11000000</v>
      </c>
    </row>
    <row r="50" spans="1:7" ht="18">
      <c r="A50" s="338" t="s">
        <v>657</v>
      </c>
      <c r="B50" s="336" t="s">
        <v>444</v>
      </c>
      <c r="C50" s="104"/>
      <c r="D50" s="104"/>
      <c r="E50" s="104"/>
      <c r="F50" s="105"/>
      <c r="G50" s="92">
        <v>1800000</v>
      </c>
    </row>
    <row r="51" spans="1:7" ht="18">
      <c r="A51" s="338" t="s">
        <v>382</v>
      </c>
      <c r="B51" s="336" t="s">
        <v>80</v>
      </c>
      <c r="C51" s="104"/>
      <c r="D51" s="104"/>
      <c r="E51" s="104"/>
      <c r="F51" s="105"/>
      <c r="G51" s="92">
        <v>3404067.76</v>
      </c>
    </row>
    <row r="52" spans="1:7" ht="18">
      <c r="A52" s="338" t="s">
        <v>81</v>
      </c>
      <c r="B52" s="336" t="s">
        <v>82</v>
      </c>
      <c r="C52" s="104"/>
      <c r="D52" s="104"/>
      <c r="E52" s="104"/>
      <c r="F52" s="105"/>
      <c r="G52" s="92">
        <f>5000000+2500000+1500000</f>
        <v>9000000</v>
      </c>
    </row>
    <row r="53" spans="1:7" ht="36">
      <c r="A53" s="413" t="s">
        <v>658</v>
      </c>
      <c r="B53" s="336" t="s">
        <v>241</v>
      </c>
      <c r="C53" s="104"/>
      <c r="D53" s="104"/>
      <c r="E53" s="104"/>
      <c r="F53" s="105"/>
      <c r="G53" s="92">
        <v>3000000</v>
      </c>
    </row>
    <row r="54" spans="1:7" ht="18">
      <c r="A54" s="338" t="s">
        <v>102</v>
      </c>
      <c r="B54" s="336" t="s">
        <v>103</v>
      </c>
      <c r="C54" s="104"/>
      <c r="D54" s="104"/>
      <c r="E54" s="104"/>
      <c r="F54" s="105"/>
      <c r="G54" s="92">
        <v>1600000</v>
      </c>
    </row>
    <row r="55" spans="1:7" ht="18.75" thickBot="1">
      <c r="A55" s="338" t="s">
        <v>233</v>
      </c>
      <c r="B55" s="414" t="s">
        <v>109</v>
      </c>
      <c r="C55" s="106"/>
      <c r="D55" s="106"/>
      <c r="E55" s="106"/>
      <c r="F55" s="107"/>
      <c r="G55" s="108">
        <f>500000+500000+800000</f>
        <v>1800000</v>
      </c>
    </row>
    <row r="56" spans="1:7" ht="19.5" thickTop="1" thickBot="1">
      <c r="A56" s="351" t="s">
        <v>659</v>
      </c>
      <c r="B56" s="415"/>
      <c r="C56" s="106">
        <f>SUM(C47:C55)</f>
        <v>18684751.809999999</v>
      </c>
      <c r="D56" s="106">
        <f t="shared" ref="D56" si="6">SUM(D47:D55)</f>
        <v>1296015.23</v>
      </c>
      <c r="E56" s="106">
        <f>SUM(E47:E55)</f>
        <v>34206096.420000002</v>
      </c>
      <c r="F56" s="107">
        <f>SUM(F47:F55)</f>
        <v>35502111.649999999</v>
      </c>
      <c r="G56" s="416">
        <f>SUM(G48:G55)</f>
        <v>36104067.759999998</v>
      </c>
    </row>
    <row r="57" spans="1:7" ht="18.75" thickTop="1">
      <c r="A57" s="417"/>
      <c r="B57" s="415"/>
      <c r="C57" s="106"/>
      <c r="D57" s="106"/>
      <c r="E57" s="106"/>
      <c r="F57" s="107"/>
      <c r="G57" s="416"/>
    </row>
    <row r="58" spans="1:7" ht="18">
      <c r="A58" s="355" t="s">
        <v>660</v>
      </c>
      <c r="B58" s="415"/>
      <c r="C58" s="106"/>
      <c r="D58" s="106"/>
      <c r="E58" s="106"/>
      <c r="F58" s="107"/>
      <c r="G58" s="108"/>
    </row>
    <row r="59" spans="1:7" ht="18">
      <c r="A59" s="418" t="s">
        <v>661</v>
      </c>
      <c r="B59" s="415"/>
      <c r="C59" s="109">
        <v>30543555</v>
      </c>
      <c r="D59" s="109">
        <v>0</v>
      </c>
      <c r="E59" s="109">
        <f>F59-D59</f>
        <v>59244295</v>
      </c>
      <c r="F59" s="419">
        <v>59244295</v>
      </c>
      <c r="G59" s="108"/>
    </row>
    <row r="60" spans="1:7" ht="18">
      <c r="A60" s="338" t="s">
        <v>662</v>
      </c>
      <c r="B60" s="420" t="s">
        <v>204</v>
      </c>
      <c r="C60" s="106"/>
      <c r="D60" s="106"/>
      <c r="E60" s="106"/>
      <c r="F60" s="105"/>
      <c r="G60" s="108">
        <f>35000000+6700000</f>
        <v>41700000</v>
      </c>
    </row>
    <row r="61" spans="1:7" ht="18">
      <c r="A61" s="338" t="s">
        <v>663</v>
      </c>
      <c r="B61" s="420" t="s">
        <v>538</v>
      </c>
      <c r="C61" s="106"/>
      <c r="D61" s="106"/>
      <c r="E61" s="106"/>
      <c r="F61" s="107"/>
      <c r="G61" s="108">
        <v>6000000</v>
      </c>
    </row>
    <row r="62" spans="1:7" ht="18.75" thickBot="1">
      <c r="A62" s="338" t="s">
        <v>664</v>
      </c>
      <c r="B62" s="420" t="s">
        <v>665</v>
      </c>
      <c r="C62" s="106"/>
      <c r="D62" s="106"/>
      <c r="E62" s="106"/>
      <c r="F62" s="107"/>
      <c r="G62" s="108">
        <v>19000000</v>
      </c>
    </row>
    <row r="63" spans="1:7" ht="19.5" thickTop="1" thickBot="1">
      <c r="A63" s="351" t="s">
        <v>666</v>
      </c>
      <c r="B63" s="421"/>
      <c r="C63" s="422">
        <f>SUM(C58:C62)</f>
        <v>30543555</v>
      </c>
      <c r="D63" s="422">
        <f t="shared" ref="D63:F63" si="7">SUM(D58:D62)</f>
        <v>0</v>
      </c>
      <c r="E63" s="422">
        <f t="shared" si="7"/>
        <v>59244295</v>
      </c>
      <c r="F63" s="422">
        <f t="shared" si="7"/>
        <v>59244295</v>
      </c>
      <c r="G63" s="77">
        <f>SUM(G60:G62)</f>
        <v>66700000</v>
      </c>
    </row>
    <row r="64" spans="1:7" ht="19.5" thickTop="1" thickBot="1">
      <c r="A64" s="351" t="s">
        <v>219</v>
      </c>
      <c r="B64" s="421"/>
      <c r="C64" s="423">
        <f>C63+C56+C45</f>
        <v>49228306.810000002</v>
      </c>
      <c r="D64" s="423">
        <f>D63+D56+D45</f>
        <v>1296015.23</v>
      </c>
      <c r="E64" s="423">
        <f>E63+E56+E45</f>
        <v>134055994.27000001</v>
      </c>
      <c r="F64" s="423">
        <f>F63+F56+F45</f>
        <v>135352009.5</v>
      </c>
      <c r="G64" s="424">
        <f>G63+G56+G45</f>
        <v>146862953.94999999</v>
      </c>
    </row>
    <row r="65" spans="1:7" ht="19.5" thickTop="1" thickBot="1">
      <c r="A65" s="351" t="s">
        <v>181</v>
      </c>
      <c r="B65" s="367"/>
      <c r="C65" s="75">
        <f>C32+C41+C64</f>
        <v>65284784.940000005</v>
      </c>
      <c r="D65" s="75">
        <f>D32+D41+D64</f>
        <v>10813520.439999999</v>
      </c>
      <c r="E65" s="75">
        <f>E32+E41+E64</f>
        <v>146914258.48000002</v>
      </c>
      <c r="F65" s="75">
        <f>F32+F41+F64</f>
        <v>158030600.02000001</v>
      </c>
      <c r="G65" s="75">
        <f>G32+G41+G64</f>
        <v>169848473.50999999</v>
      </c>
    </row>
    <row r="66" spans="1:7" ht="18.75" thickTop="1">
      <c r="A66" s="317" t="s">
        <v>183</v>
      </c>
      <c r="B66" s="317" t="s">
        <v>184</v>
      </c>
      <c r="C66" s="317"/>
      <c r="D66" s="317"/>
      <c r="E66" s="317"/>
      <c r="F66" s="317" t="s">
        <v>185</v>
      </c>
      <c r="G66" s="395"/>
    </row>
    <row r="67" spans="1:7" ht="18">
      <c r="A67" s="317"/>
      <c r="B67" s="317"/>
      <c r="C67" s="317"/>
      <c r="D67" s="317"/>
      <c r="E67" s="317"/>
      <c r="F67" s="317"/>
      <c r="G67" s="395"/>
    </row>
    <row r="68" spans="1:7" ht="18">
      <c r="A68" s="317"/>
      <c r="B68" s="317"/>
      <c r="C68" s="317"/>
      <c r="D68" s="317"/>
      <c r="E68" s="317"/>
      <c r="F68" s="317"/>
      <c r="G68" s="395"/>
    </row>
    <row r="69" spans="1:7" ht="18">
      <c r="A69" s="317"/>
      <c r="B69" s="317"/>
      <c r="C69" s="317"/>
      <c r="D69" s="317"/>
      <c r="E69" s="317"/>
      <c r="F69" s="317"/>
      <c r="G69" s="317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09" t="s">
        <v>220</v>
      </c>
      <c r="B71" s="1239" t="s">
        <v>187</v>
      </c>
      <c r="C71" s="1236"/>
      <c r="D71" s="1236"/>
      <c r="E71" s="369"/>
      <c r="F71" s="1240" t="s">
        <v>188</v>
      </c>
      <c r="G71" s="1241"/>
    </row>
    <row r="72" spans="1:7" ht="18">
      <c r="A72" s="371" t="s">
        <v>221</v>
      </c>
      <c r="B72" s="1235" t="s">
        <v>190</v>
      </c>
      <c r="C72" s="1236"/>
      <c r="D72" s="1236"/>
      <c r="E72" s="372"/>
      <c r="F72" s="1237" t="s">
        <v>191</v>
      </c>
      <c r="G72" s="1241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 t="s">
        <v>183</v>
      </c>
      <c r="B83" s="317" t="s">
        <v>184</v>
      </c>
      <c r="C83" s="317"/>
      <c r="D83" s="317"/>
      <c r="E83" s="317"/>
      <c r="F83" s="317" t="s">
        <v>185</v>
      </c>
      <c r="G83" s="395"/>
    </row>
    <row r="84" spans="1:7" ht="18">
      <c r="A84" s="317"/>
      <c r="B84" s="317"/>
      <c r="C84" s="317"/>
      <c r="D84" s="317"/>
      <c r="E84" s="317"/>
      <c r="F84" s="317"/>
      <c r="G84" s="395"/>
    </row>
    <row r="85" spans="1:7" ht="18">
      <c r="A85" s="317"/>
      <c r="B85" s="317"/>
      <c r="C85" s="317"/>
      <c r="D85" s="317"/>
      <c r="E85" s="317"/>
      <c r="F85" s="317"/>
      <c r="G85" s="395"/>
    </row>
    <row r="86" spans="1:7" ht="18">
      <c r="A86" s="317"/>
      <c r="B86" s="317"/>
      <c r="C86" s="317"/>
      <c r="D86" s="317"/>
      <c r="E86" s="317"/>
      <c r="F86" s="317"/>
      <c r="G86" s="395"/>
    </row>
    <row r="87" spans="1:7" ht="18">
      <c r="A87" s="317"/>
      <c r="B87" s="317"/>
      <c r="C87" s="317"/>
      <c r="D87" s="317"/>
      <c r="E87" s="317"/>
      <c r="F87" s="317"/>
      <c r="G87" s="395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09" t="s">
        <v>220</v>
      </c>
      <c r="B90" s="1239" t="s">
        <v>187</v>
      </c>
      <c r="C90" s="1236"/>
      <c r="D90" s="1236"/>
      <c r="E90" s="369"/>
      <c r="F90" s="1240" t="s">
        <v>188</v>
      </c>
      <c r="G90" s="1241"/>
    </row>
    <row r="91" spans="1:7" ht="18">
      <c r="A91" s="371" t="s">
        <v>221</v>
      </c>
      <c r="B91" s="1235" t="s">
        <v>190</v>
      </c>
      <c r="C91" s="1236"/>
      <c r="D91" s="1236"/>
      <c r="E91" s="372"/>
      <c r="F91" s="1237" t="s">
        <v>191</v>
      </c>
      <c r="G91" s="1241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6.5">
      <c r="A94" s="1245" t="s">
        <v>194</v>
      </c>
      <c r="B94" s="1245"/>
      <c r="C94" s="1245"/>
      <c r="D94" s="1245"/>
      <c r="E94" s="1245"/>
      <c r="F94" s="1245"/>
      <c r="G94" s="1245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 ht="18">
      <c r="A249" s="317"/>
      <c r="B249" s="317"/>
      <c r="C249" s="317"/>
      <c r="D249" s="317"/>
      <c r="E249" s="317"/>
      <c r="F249" s="317"/>
      <c r="G249" s="317"/>
    </row>
    <row r="250" spans="1:7" ht="18">
      <c r="A250" s="317"/>
      <c r="B250" s="317"/>
      <c r="C250" s="317"/>
      <c r="D250" s="317"/>
      <c r="E250" s="317"/>
      <c r="F250" s="317"/>
      <c r="G250" s="317"/>
    </row>
    <row r="251" spans="1:7" ht="18">
      <c r="A251" s="317"/>
      <c r="B251" s="317"/>
      <c r="C251" s="317"/>
      <c r="D251" s="317"/>
      <c r="E251" s="317"/>
      <c r="F251" s="317"/>
      <c r="G251" s="317"/>
    </row>
    <row r="252" spans="1:7" ht="18">
      <c r="A252" s="317"/>
      <c r="B252" s="317"/>
      <c r="C252" s="317"/>
      <c r="D252" s="317"/>
      <c r="E252" s="317"/>
      <c r="F252" s="317"/>
      <c r="G252" s="31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  <row r="994" spans="1:7">
      <c r="A994" s="377"/>
      <c r="B994" s="377"/>
      <c r="C994" s="377"/>
      <c r="D994" s="377"/>
      <c r="E994" s="377"/>
      <c r="F994" s="377"/>
      <c r="G994" s="377"/>
    </row>
    <row r="995" spans="1:7">
      <c r="A995" s="377"/>
      <c r="B995" s="377"/>
      <c r="C995" s="377"/>
      <c r="D995" s="377"/>
      <c r="E995" s="377"/>
      <c r="F995" s="377"/>
      <c r="G995" s="377"/>
    </row>
    <row r="996" spans="1:7">
      <c r="A996" s="377"/>
      <c r="B996" s="377"/>
      <c r="C996" s="377"/>
      <c r="D996" s="377"/>
      <c r="E996" s="377"/>
      <c r="F996" s="377"/>
      <c r="G996" s="377"/>
    </row>
    <row r="997" spans="1:7">
      <c r="A997" s="377"/>
      <c r="B997" s="377"/>
      <c r="C997" s="377"/>
      <c r="D997" s="377"/>
      <c r="E997" s="377"/>
      <c r="F997" s="377"/>
      <c r="G997" s="377"/>
    </row>
    <row r="998" spans="1:7">
      <c r="A998" s="377"/>
      <c r="B998" s="377"/>
      <c r="C998" s="377"/>
      <c r="D998" s="377"/>
      <c r="E998" s="377"/>
      <c r="F998" s="377"/>
      <c r="G998" s="377"/>
    </row>
    <row r="999" spans="1:7">
      <c r="A999" s="377"/>
      <c r="B999" s="377"/>
      <c r="C999" s="377"/>
      <c r="D999" s="377"/>
      <c r="E999" s="377"/>
      <c r="F999" s="377"/>
      <c r="G999" s="377"/>
    </row>
    <row r="1000" spans="1:7">
      <c r="A1000" s="377"/>
      <c r="B1000" s="377"/>
      <c r="C1000" s="377"/>
      <c r="D1000" s="377"/>
      <c r="E1000" s="377"/>
      <c r="F1000" s="377"/>
      <c r="G1000" s="377"/>
    </row>
    <row r="1001" spans="1:7">
      <c r="A1001" s="377"/>
      <c r="B1001" s="377"/>
      <c r="C1001" s="377"/>
      <c r="D1001" s="377"/>
      <c r="E1001" s="377"/>
      <c r="F1001" s="377"/>
      <c r="G1001" s="377"/>
    </row>
    <row r="1002" spans="1:7">
      <c r="A1002" s="377"/>
      <c r="B1002" s="377"/>
      <c r="C1002" s="377"/>
      <c r="D1002" s="377"/>
      <c r="E1002" s="377"/>
      <c r="F1002" s="377"/>
      <c r="G1002" s="377"/>
    </row>
    <row r="1003" spans="1:7">
      <c r="A1003" s="377"/>
      <c r="B1003" s="377"/>
      <c r="C1003" s="377"/>
      <c r="D1003" s="377"/>
      <c r="E1003" s="377"/>
      <c r="F1003" s="377"/>
      <c r="G1003" s="377"/>
    </row>
    <row r="1004" spans="1:7">
      <c r="A1004" s="377"/>
      <c r="B1004" s="377"/>
      <c r="C1004" s="377"/>
      <c r="D1004" s="377"/>
      <c r="E1004" s="377"/>
      <c r="F1004" s="377"/>
      <c r="G1004" s="377"/>
    </row>
    <row r="1005" spans="1:7">
      <c r="A1005" s="377"/>
      <c r="B1005" s="377"/>
      <c r="C1005" s="377"/>
      <c r="D1005" s="377"/>
      <c r="E1005" s="377"/>
      <c r="F1005" s="377"/>
      <c r="G1005" s="377"/>
    </row>
    <row r="1006" spans="1:7">
      <c r="A1006" s="377"/>
      <c r="B1006" s="377"/>
      <c r="C1006" s="377"/>
      <c r="D1006" s="377"/>
      <c r="E1006" s="377"/>
      <c r="F1006" s="377"/>
      <c r="G1006" s="377"/>
    </row>
    <row r="1007" spans="1:7">
      <c r="A1007" s="377"/>
      <c r="B1007" s="377"/>
      <c r="C1007" s="377"/>
      <c r="D1007" s="377"/>
      <c r="E1007" s="377"/>
      <c r="F1007" s="377"/>
      <c r="G1007" s="377"/>
    </row>
  </sheetData>
  <sheetProtection algorithmName="SHA-512" hashValue="x4+eLHB3JiAFvCZfSKHAXkiFubSrzJwzmmGZfdj7eDyWE0Ajyip2UxGVfUdDcsGhQOyPO+S0iGbWzIEYphIhMA==" saltValue="tNiBCXmzo7MkjHRG5qCBiA==" spinCount="100000" sheet="1" objects="1" scenarios="1"/>
  <mergeCells count="17">
    <mergeCell ref="B91:D91"/>
    <mergeCell ref="F91:G91"/>
    <mergeCell ref="A94:G94"/>
    <mergeCell ref="B71:D71"/>
    <mergeCell ref="F71:G71"/>
    <mergeCell ref="B72:D72"/>
    <mergeCell ref="F72:G72"/>
    <mergeCell ref="B90:D90"/>
    <mergeCell ref="F90:G90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E873-D5FD-4906-99BF-FADB1BD7B5B4}">
  <dimension ref="A1:G992"/>
  <sheetViews>
    <sheetView topLeftCell="A34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16384" width="8.85546875" style="314"/>
  </cols>
  <sheetData>
    <row r="1" spans="1:7" ht="18">
      <c r="A1" s="311" t="s">
        <v>13</v>
      </c>
      <c r="B1" s="312"/>
      <c r="C1" s="313"/>
      <c r="D1" s="313"/>
      <c r="E1" s="313"/>
      <c r="F1" s="312"/>
      <c r="G1" s="312"/>
    </row>
    <row r="2" spans="1:7" ht="21">
      <c r="A2" s="1225" t="s">
        <v>0</v>
      </c>
      <c r="B2" s="1241"/>
      <c r="C2" s="1241"/>
      <c r="D2" s="1241"/>
      <c r="E2" s="1241"/>
      <c r="F2" s="1241"/>
      <c r="G2" s="1241"/>
    </row>
    <row r="3" spans="1:7" ht="18">
      <c r="A3" s="1227" t="s">
        <v>14</v>
      </c>
      <c r="B3" s="1241"/>
      <c r="C3" s="1241"/>
      <c r="D3" s="1241"/>
      <c r="E3" s="1241"/>
      <c r="F3" s="1241"/>
      <c r="G3" s="1241"/>
    </row>
    <row r="4" spans="1:7" ht="18">
      <c r="A4" s="315"/>
      <c r="B4" s="315"/>
      <c r="C4" s="316"/>
      <c r="D4" s="316"/>
      <c r="E4" s="316"/>
      <c r="F4" s="315"/>
      <c r="G4" s="315"/>
    </row>
    <row r="5" spans="1:7" ht="18.75" thickBot="1">
      <c r="A5" s="315" t="s">
        <v>609</v>
      </c>
      <c r="B5" s="315"/>
      <c r="C5" s="315"/>
      <c r="D5" s="315"/>
      <c r="E5" s="396"/>
      <c r="F5" s="315"/>
      <c r="G5" s="315"/>
    </row>
    <row r="6" spans="1:7" ht="21" customHeight="1" thickTop="1" thickBot="1">
      <c r="A6" s="1228" t="s">
        <v>16</v>
      </c>
      <c r="B6" s="1228" t="s">
        <v>583</v>
      </c>
      <c r="C6" s="1230" t="s">
        <v>584</v>
      </c>
      <c r="D6" s="1231" t="s">
        <v>581</v>
      </c>
      <c r="E6" s="1242"/>
      <c r="F6" s="1243"/>
      <c r="G6" s="1230" t="s">
        <v>610</v>
      </c>
    </row>
    <row r="7" spans="1:7" ht="35.25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</row>
    <row r="8" spans="1:7" ht="18">
      <c r="A8" s="1234"/>
      <c r="B8" s="1234"/>
      <c r="C8" s="1234"/>
      <c r="D8" s="321" t="s">
        <v>24</v>
      </c>
      <c r="E8" s="321" t="s">
        <v>25</v>
      </c>
      <c r="F8" s="1234"/>
      <c r="G8" s="1234"/>
    </row>
    <row r="9" spans="1:7" ht="18.75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</row>
    <row r="10" spans="1:7" ht="18.75" thickTop="1">
      <c r="A10" s="324" t="s">
        <v>33</v>
      </c>
      <c r="B10" s="325"/>
      <c r="C10" s="325"/>
      <c r="D10" s="325"/>
      <c r="E10" s="325"/>
      <c r="F10" s="326"/>
      <c r="G10" s="327"/>
    </row>
    <row r="11" spans="1:7" ht="18">
      <c r="A11" s="328" t="s">
        <v>34</v>
      </c>
      <c r="B11" s="329"/>
      <c r="C11" s="330"/>
      <c r="D11" s="331"/>
      <c r="E11" s="331"/>
      <c r="F11" s="331"/>
      <c r="G11" s="332"/>
    </row>
    <row r="12" spans="1:7" ht="18">
      <c r="A12" s="333" t="s">
        <v>35</v>
      </c>
      <c r="B12" s="334"/>
      <c r="C12" s="335"/>
      <c r="D12" s="336"/>
      <c r="E12" s="336"/>
      <c r="F12" s="336"/>
      <c r="G12" s="337"/>
    </row>
    <row r="13" spans="1:7" ht="18">
      <c r="A13" s="338" t="s">
        <v>36</v>
      </c>
      <c r="B13" s="339" t="s">
        <v>37</v>
      </c>
      <c r="C13" s="36">
        <v>870345.32</v>
      </c>
      <c r="D13" s="85">
        <v>280350</v>
      </c>
      <c r="E13" s="36">
        <f>F13-D13</f>
        <v>980814</v>
      </c>
      <c r="F13" s="37">
        <v>1261164</v>
      </c>
      <c r="G13" s="37">
        <v>1347128</v>
      </c>
    </row>
    <row r="14" spans="1:7" ht="18">
      <c r="A14" s="340" t="s">
        <v>40</v>
      </c>
      <c r="B14" s="339"/>
      <c r="C14" s="36"/>
      <c r="D14" s="85"/>
      <c r="E14" s="85"/>
      <c r="F14" s="37"/>
      <c r="G14" s="37"/>
    </row>
    <row r="15" spans="1:7" ht="18">
      <c r="A15" s="338" t="s">
        <v>41</v>
      </c>
      <c r="B15" s="339" t="s">
        <v>42</v>
      </c>
      <c r="C15" s="36">
        <v>76454.53</v>
      </c>
      <c r="D15" s="85">
        <v>12000</v>
      </c>
      <c r="E15" s="36">
        <f t="shared" ref="E15:E16" si="0">F15-D15</f>
        <v>84000</v>
      </c>
      <c r="F15" s="37">
        <v>96000</v>
      </c>
      <c r="G15" s="37">
        <v>96000</v>
      </c>
    </row>
    <row r="16" spans="1:7" ht="18">
      <c r="A16" s="338" t="s">
        <v>47</v>
      </c>
      <c r="B16" s="339" t="s">
        <v>48</v>
      </c>
      <c r="C16" s="38">
        <v>24000</v>
      </c>
      <c r="D16" s="219">
        <v>0</v>
      </c>
      <c r="E16" s="36">
        <f t="shared" si="0"/>
        <v>24000</v>
      </c>
      <c r="F16" s="37">
        <v>24000</v>
      </c>
      <c r="G16" s="37">
        <v>28000</v>
      </c>
    </row>
    <row r="17" spans="1:7" ht="18">
      <c r="A17" s="338" t="s">
        <v>49</v>
      </c>
      <c r="B17" s="339" t="s">
        <v>50</v>
      </c>
      <c r="C17" s="38">
        <v>20000</v>
      </c>
      <c r="D17" s="38">
        <v>0</v>
      </c>
      <c r="E17" s="36">
        <v>20000</v>
      </c>
      <c r="F17" s="37">
        <v>20000</v>
      </c>
      <c r="G17" s="37">
        <v>20000</v>
      </c>
    </row>
    <row r="18" spans="1:7" ht="18">
      <c r="A18" s="338" t="s">
        <v>53</v>
      </c>
      <c r="B18" s="339" t="s">
        <v>54</v>
      </c>
      <c r="C18" s="36">
        <v>105097</v>
      </c>
      <c r="D18" s="219">
        <v>0</v>
      </c>
      <c r="E18" s="36">
        <f t="shared" ref="E18:E20" si="1">F18-D18</f>
        <v>105097</v>
      </c>
      <c r="F18" s="37">
        <v>105097</v>
      </c>
      <c r="G18" s="37">
        <v>115210</v>
      </c>
    </row>
    <row r="19" spans="1:7" ht="18">
      <c r="A19" s="338" t="s">
        <v>55</v>
      </c>
      <c r="B19" s="339" t="s">
        <v>56</v>
      </c>
      <c r="C19" s="36">
        <v>20000</v>
      </c>
      <c r="D19" s="219">
        <v>0</v>
      </c>
      <c r="E19" s="36">
        <f t="shared" si="1"/>
        <v>20000</v>
      </c>
      <c r="F19" s="37">
        <v>20000</v>
      </c>
      <c r="G19" s="37">
        <v>20000</v>
      </c>
    </row>
    <row r="20" spans="1:7" ht="18">
      <c r="A20" s="338" t="s">
        <v>57</v>
      </c>
      <c r="B20" s="339" t="s">
        <v>58</v>
      </c>
      <c r="C20" s="36">
        <v>58372</v>
      </c>
      <c r="D20" s="85">
        <v>46725</v>
      </c>
      <c r="E20" s="36">
        <f t="shared" si="1"/>
        <v>58372</v>
      </c>
      <c r="F20" s="37">
        <v>105097</v>
      </c>
      <c r="G20" s="37">
        <v>110154</v>
      </c>
    </row>
    <row r="21" spans="1:7" ht="18">
      <c r="A21" s="338" t="s">
        <v>557</v>
      </c>
      <c r="B21" s="339" t="s">
        <v>58</v>
      </c>
      <c r="C21" s="55">
        <v>0</v>
      </c>
      <c r="D21" s="55">
        <v>0</v>
      </c>
      <c r="E21" s="55">
        <v>0</v>
      </c>
      <c r="F21" s="83">
        <v>0</v>
      </c>
      <c r="G21" s="37">
        <v>28000</v>
      </c>
    </row>
    <row r="22" spans="1:7" ht="18">
      <c r="A22" s="340" t="s">
        <v>59</v>
      </c>
      <c r="B22" s="339"/>
      <c r="C22" s="36"/>
      <c r="D22" s="85"/>
      <c r="E22" s="85"/>
      <c r="F22" s="37"/>
      <c r="G22" s="37"/>
    </row>
    <row r="23" spans="1:7" ht="18">
      <c r="A23" s="338" t="s">
        <v>60</v>
      </c>
      <c r="B23" s="339" t="s">
        <v>61</v>
      </c>
      <c r="C23" s="36">
        <v>104252.35</v>
      </c>
      <c r="D23" s="85">
        <v>33642</v>
      </c>
      <c r="E23" s="36">
        <f t="shared" ref="E23:E26" si="2">F23-D23</f>
        <v>117697.68</v>
      </c>
      <c r="F23" s="37">
        <v>151339.68</v>
      </c>
      <c r="G23" s="37">
        <v>161655.35999999999</v>
      </c>
    </row>
    <row r="24" spans="1:7" ht="18">
      <c r="A24" s="338" t="s">
        <v>62</v>
      </c>
      <c r="B24" s="339" t="s">
        <v>63</v>
      </c>
      <c r="C24" s="36">
        <v>24223.279999999999</v>
      </c>
      <c r="D24" s="85">
        <v>1100</v>
      </c>
      <c r="E24" s="36">
        <f t="shared" si="2"/>
        <v>3700</v>
      </c>
      <c r="F24" s="37">
        <v>4800</v>
      </c>
      <c r="G24" s="37">
        <v>9600</v>
      </c>
    </row>
    <row r="25" spans="1:7" ht="18">
      <c r="A25" s="338" t="s">
        <v>64</v>
      </c>
      <c r="B25" s="339" t="s">
        <v>65</v>
      </c>
      <c r="C25" s="36">
        <v>20559.77</v>
      </c>
      <c r="D25" s="85">
        <v>7008.77</v>
      </c>
      <c r="E25" s="36">
        <f t="shared" si="2"/>
        <v>21367.39</v>
      </c>
      <c r="F25" s="37">
        <v>28376.16</v>
      </c>
      <c r="G25" s="37">
        <v>33678.400000000001</v>
      </c>
    </row>
    <row r="26" spans="1:7" ht="18">
      <c r="A26" s="341" t="s">
        <v>66</v>
      </c>
      <c r="B26" s="342" t="s">
        <v>67</v>
      </c>
      <c r="C26" s="72">
        <v>3800</v>
      </c>
      <c r="D26" s="220">
        <v>600</v>
      </c>
      <c r="E26" s="72">
        <f t="shared" si="2"/>
        <v>4200</v>
      </c>
      <c r="F26" s="123">
        <v>4800</v>
      </c>
      <c r="G26" s="123">
        <v>4800</v>
      </c>
    </row>
    <row r="27" spans="1:7" ht="18">
      <c r="A27" s="340" t="s">
        <v>589</v>
      </c>
      <c r="B27" s="425"/>
      <c r="C27" s="36"/>
      <c r="D27" s="36"/>
      <c r="E27" s="36"/>
      <c r="F27" s="37"/>
      <c r="G27" s="37"/>
    </row>
    <row r="28" spans="1:7" ht="18.75" thickBot="1">
      <c r="A28" s="426" t="s">
        <v>558</v>
      </c>
      <c r="B28" s="339" t="s">
        <v>520</v>
      </c>
      <c r="C28" s="55">
        <v>0</v>
      </c>
      <c r="D28" s="55">
        <v>0</v>
      </c>
      <c r="E28" s="55">
        <v>0</v>
      </c>
      <c r="F28" s="83">
        <v>0</v>
      </c>
      <c r="G28" s="83">
        <v>0</v>
      </c>
    </row>
    <row r="29" spans="1:7" ht="19.5" thickTop="1" thickBot="1">
      <c r="A29" s="351" t="s">
        <v>71</v>
      </c>
      <c r="B29" s="352"/>
      <c r="C29" s="75">
        <f t="shared" ref="C29:F29" si="3">SUM(C13:C26)</f>
        <v>1327104.2500000002</v>
      </c>
      <c r="D29" s="75">
        <f t="shared" si="3"/>
        <v>381425.77</v>
      </c>
      <c r="E29" s="75">
        <f t="shared" si="3"/>
        <v>1439248.0699999998</v>
      </c>
      <c r="F29" s="75">
        <f t="shared" si="3"/>
        <v>1820673.8399999999</v>
      </c>
      <c r="G29" s="77">
        <f>SUM(G13:G28)</f>
        <v>1974225.7599999998</v>
      </c>
    </row>
    <row r="30" spans="1:7" ht="18.75" thickTop="1">
      <c r="A30" s="355" t="s">
        <v>72</v>
      </c>
      <c r="B30" s="356"/>
      <c r="C30" s="427"/>
      <c r="D30" s="427"/>
      <c r="E30" s="427"/>
      <c r="F30" s="428"/>
      <c r="G30" s="380"/>
    </row>
    <row r="31" spans="1:7" ht="18">
      <c r="A31" s="429" t="s">
        <v>223</v>
      </c>
      <c r="B31" s="430" t="s">
        <v>74</v>
      </c>
      <c r="C31" s="221">
        <v>0</v>
      </c>
      <c r="D31" s="221">
        <v>0</v>
      </c>
      <c r="E31" s="221">
        <v>0</v>
      </c>
      <c r="F31" s="222">
        <v>60000</v>
      </c>
      <c r="G31" s="222">
        <v>60000</v>
      </c>
    </row>
    <row r="32" spans="1:7" ht="18">
      <c r="A32" s="431" t="s">
        <v>224</v>
      </c>
      <c r="B32" s="432" t="s">
        <v>78</v>
      </c>
      <c r="C32" s="223">
        <v>0</v>
      </c>
      <c r="D32" s="224">
        <v>0</v>
      </c>
      <c r="E32" s="223">
        <v>0</v>
      </c>
      <c r="F32" s="139">
        <v>100000</v>
      </c>
      <c r="G32" s="83">
        <v>0</v>
      </c>
    </row>
    <row r="33" spans="1:7" ht="18">
      <c r="A33" s="338" t="s">
        <v>81</v>
      </c>
      <c r="B33" s="339" t="s">
        <v>82</v>
      </c>
      <c r="C33" s="38">
        <v>12086.92</v>
      </c>
      <c r="D33" s="55">
        <v>0</v>
      </c>
      <c r="E33" s="36">
        <f t="shared" ref="E33" si="4">F33-D33</f>
        <v>100000</v>
      </c>
      <c r="F33" s="37">
        <v>100000</v>
      </c>
      <c r="G33" s="83">
        <v>0</v>
      </c>
    </row>
    <row r="34" spans="1:7" ht="18">
      <c r="A34" s="359" t="s">
        <v>225</v>
      </c>
      <c r="B34" s="360" t="s">
        <v>84</v>
      </c>
      <c r="C34" s="38">
        <v>60000</v>
      </c>
      <c r="D34" s="36">
        <v>25000</v>
      </c>
      <c r="E34" s="36">
        <f>F34-D34</f>
        <v>35000</v>
      </c>
      <c r="F34" s="37">
        <v>60000</v>
      </c>
      <c r="G34" s="37">
        <v>60000</v>
      </c>
    </row>
    <row r="35" spans="1:7" ht="18">
      <c r="A35" s="426" t="s">
        <v>199</v>
      </c>
      <c r="B35" s="433" t="s">
        <v>200</v>
      </c>
      <c r="C35" s="225">
        <v>188135.63</v>
      </c>
      <c r="D35" s="38">
        <v>291580</v>
      </c>
      <c r="E35" s="36">
        <v>253080</v>
      </c>
      <c r="F35" s="37">
        <v>1178520</v>
      </c>
      <c r="G35" s="37">
        <v>1068120</v>
      </c>
    </row>
    <row r="36" spans="1:7" ht="18">
      <c r="A36" s="426" t="s">
        <v>100</v>
      </c>
      <c r="B36" s="433" t="s">
        <v>227</v>
      </c>
      <c r="C36" s="225">
        <v>0</v>
      </c>
      <c r="D36" s="55">
        <v>0</v>
      </c>
      <c r="E36" s="55">
        <v>0</v>
      </c>
      <c r="F36" s="83">
        <v>0</v>
      </c>
      <c r="G36" s="80">
        <v>100000</v>
      </c>
    </row>
    <row r="37" spans="1:7" ht="18">
      <c r="A37" s="338" t="s">
        <v>108</v>
      </c>
      <c r="B37" s="425" t="s">
        <v>109</v>
      </c>
      <c r="C37" s="36">
        <f>125173.52+13210</f>
        <v>138383.52000000002</v>
      </c>
      <c r="D37" s="56"/>
      <c r="E37" s="36"/>
      <c r="F37" s="37"/>
      <c r="G37" s="37"/>
    </row>
    <row r="38" spans="1:7" ht="18">
      <c r="A38" s="434" t="s">
        <v>228</v>
      </c>
      <c r="B38" s="435"/>
      <c r="C38" s="38"/>
      <c r="D38" s="55">
        <v>0</v>
      </c>
      <c r="E38" s="38">
        <f t="shared" ref="E38:E39" si="5">F38-D38</f>
        <v>203430</v>
      </c>
      <c r="F38" s="37">
        <v>203430</v>
      </c>
      <c r="G38" s="83">
        <v>0</v>
      </c>
    </row>
    <row r="39" spans="1:7" ht="18">
      <c r="A39" s="434" t="s">
        <v>229</v>
      </c>
      <c r="B39" s="425"/>
      <c r="C39" s="38"/>
      <c r="D39" s="55">
        <v>0</v>
      </c>
      <c r="E39" s="38">
        <f t="shared" si="5"/>
        <v>100000</v>
      </c>
      <c r="F39" s="222">
        <v>100000</v>
      </c>
      <c r="G39" s="83">
        <v>0</v>
      </c>
    </row>
    <row r="40" spans="1:7" ht="18.75" thickBot="1">
      <c r="A40" s="434"/>
      <c r="B40" s="435"/>
      <c r="C40" s="36"/>
      <c r="D40" s="55"/>
      <c r="E40" s="38"/>
      <c r="F40" s="226"/>
      <c r="G40" s="226"/>
    </row>
    <row r="41" spans="1:7" ht="19.5" thickTop="1" thickBot="1">
      <c r="A41" s="351" t="s">
        <v>162</v>
      </c>
      <c r="B41" s="367"/>
      <c r="C41" s="75">
        <f>SUM(C31:C40)</f>
        <v>398606.07</v>
      </c>
      <c r="D41" s="75">
        <f>SUM(D31:D40)</f>
        <v>316580</v>
      </c>
      <c r="E41" s="75">
        <f>SUM(E31:E40)</f>
        <v>691510</v>
      </c>
      <c r="F41" s="75">
        <f>SUM(F31:F40)</f>
        <v>1801950</v>
      </c>
      <c r="G41" s="75">
        <f>SUM(G31:G40)</f>
        <v>1288120</v>
      </c>
    </row>
    <row r="42" spans="1:7" ht="18.75" thickTop="1">
      <c r="A42" s="355" t="s">
        <v>163</v>
      </c>
      <c r="B42" s="436"/>
      <c r="C42" s="216"/>
      <c r="D42" s="216"/>
      <c r="E42" s="216"/>
      <c r="F42" s="280"/>
      <c r="G42" s="217"/>
    </row>
    <row r="43" spans="1:7" ht="18.75" thickBot="1">
      <c r="A43" s="341" t="s">
        <v>169</v>
      </c>
      <c r="B43" s="437" t="s">
        <v>170</v>
      </c>
      <c r="C43" s="97">
        <v>0</v>
      </c>
      <c r="D43" s="98">
        <v>0</v>
      </c>
      <c r="E43" s="97">
        <f t="shared" ref="E43" si="6">F43-D43</f>
        <v>150000</v>
      </c>
      <c r="F43" s="74">
        <v>150000</v>
      </c>
      <c r="G43" s="83">
        <v>0</v>
      </c>
    </row>
    <row r="44" spans="1:7" ht="19.5" thickTop="1" thickBot="1">
      <c r="A44" s="351" t="s">
        <v>171</v>
      </c>
      <c r="B44" s="367"/>
      <c r="C44" s="112">
        <f>SUM(C43:C43)</f>
        <v>0</v>
      </c>
      <c r="D44" s="112">
        <f>SUM(D43:D43)</f>
        <v>0</v>
      </c>
      <c r="E44" s="112">
        <f>SUM(E43:E43)</f>
        <v>150000</v>
      </c>
      <c r="F44" s="112">
        <f>SUM(F43:F43)</f>
        <v>150000</v>
      </c>
      <c r="G44" s="83">
        <v>0</v>
      </c>
    </row>
    <row r="45" spans="1:7" ht="19.5" thickTop="1" thickBot="1">
      <c r="A45" s="351" t="s">
        <v>181</v>
      </c>
      <c r="B45" s="367"/>
      <c r="C45" s="75">
        <f>C44+C41+C29</f>
        <v>1725710.3200000003</v>
      </c>
      <c r="D45" s="75">
        <f>D44+D41+D29</f>
        <v>698005.77</v>
      </c>
      <c r="E45" s="75">
        <f>E44+E41+E29</f>
        <v>2280758.0699999998</v>
      </c>
      <c r="F45" s="75">
        <f>F44+F41+F29</f>
        <v>3772623.84</v>
      </c>
      <c r="G45" s="75">
        <f>G44+G41+G29</f>
        <v>3262345.76</v>
      </c>
    </row>
    <row r="46" spans="1:7" ht="18.75" thickTop="1">
      <c r="A46" s="317"/>
      <c r="B46" s="317"/>
      <c r="C46" s="317"/>
      <c r="D46" s="317"/>
      <c r="E46" s="317"/>
      <c r="F46" s="317"/>
      <c r="G46" s="317"/>
    </row>
    <row r="47" spans="1:7" ht="18">
      <c r="A47" s="317"/>
      <c r="B47" s="317"/>
      <c r="C47" s="317"/>
      <c r="D47" s="317"/>
      <c r="E47" s="317"/>
      <c r="F47" s="317"/>
      <c r="G47" s="317"/>
    </row>
    <row r="48" spans="1:7" ht="18">
      <c r="A48" s="317"/>
      <c r="B48" s="317"/>
      <c r="C48" s="317"/>
      <c r="D48" s="317"/>
      <c r="E48" s="317"/>
      <c r="F48" s="317"/>
      <c r="G48" s="317"/>
    </row>
    <row r="49" spans="1:7" ht="18">
      <c r="A49" s="317"/>
      <c r="B49" s="317"/>
      <c r="C49" s="317"/>
      <c r="D49" s="317"/>
      <c r="E49" s="317"/>
      <c r="F49" s="317"/>
      <c r="G49" s="317"/>
    </row>
    <row r="50" spans="1:7" ht="18">
      <c r="A50" s="317"/>
      <c r="B50" s="317"/>
      <c r="C50" s="317"/>
      <c r="D50" s="317"/>
      <c r="E50" s="317"/>
      <c r="F50" s="317"/>
      <c r="G50" s="317"/>
    </row>
    <row r="51" spans="1:7" ht="18">
      <c r="A51" s="317"/>
      <c r="B51" s="317"/>
      <c r="C51" s="317"/>
      <c r="D51" s="317"/>
      <c r="E51" s="317"/>
      <c r="F51" s="317"/>
      <c r="G51" s="317"/>
    </row>
    <row r="52" spans="1:7" ht="18">
      <c r="A52" s="317"/>
      <c r="B52" s="317"/>
      <c r="C52" s="317"/>
      <c r="D52" s="317"/>
      <c r="E52" s="317"/>
      <c r="F52" s="317"/>
      <c r="G52" s="317"/>
    </row>
    <row r="53" spans="1:7" ht="18">
      <c r="A53" s="317"/>
      <c r="B53" s="317"/>
      <c r="C53" s="317"/>
      <c r="D53" s="317"/>
      <c r="E53" s="317"/>
      <c r="F53" s="317"/>
      <c r="G53" s="317"/>
    </row>
    <row r="54" spans="1:7" ht="18">
      <c r="A54" s="317"/>
      <c r="B54" s="317"/>
      <c r="C54" s="317"/>
      <c r="D54" s="317"/>
      <c r="E54" s="317"/>
      <c r="F54" s="317"/>
      <c r="G54" s="317"/>
    </row>
    <row r="55" spans="1:7" ht="18">
      <c r="A55" s="309"/>
      <c r="B55" s="1239"/>
      <c r="C55" s="1236"/>
      <c r="D55" s="1236"/>
      <c r="E55" s="369"/>
      <c r="F55" s="1240"/>
      <c r="G55" s="1241"/>
    </row>
    <row r="56" spans="1:7" ht="18">
      <c r="A56" s="317"/>
      <c r="B56" s="317"/>
      <c r="C56" s="317"/>
      <c r="D56" s="317"/>
      <c r="E56" s="317"/>
      <c r="F56" s="317"/>
      <c r="G56" s="317"/>
    </row>
    <row r="57" spans="1:7" ht="18">
      <c r="A57" s="317"/>
      <c r="B57" s="317"/>
      <c r="C57" s="317"/>
      <c r="D57" s="317"/>
      <c r="E57" s="317"/>
      <c r="F57" s="317"/>
      <c r="G57" s="317"/>
    </row>
    <row r="58" spans="1:7" ht="18">
      <c r="A58" s="317"/>
      <c r="B58" s="317"/>
      <c r="C58" s="317"/>
      <c r="D58" s="317"/>
      <c r="E58" s="317"/>
      <c r="F58" s="317"/>
      <c r="G58" s="317"/>
    </row>
    <row r="59" spans="1:7" ht="18">
      <c r="A59" s="317"/>
      <c r="B59" s="317"/>
      <c r="C59" s="317"/>
      <c r="D59" s="317"/>
      <c r="E59" s="317"/>
      <c r="F59" s="317"/>
      <c r="G59" s="317"/>
    </row>
    <row r="60" spans="1:7" ht="18">
      <c r="A60" s="317" t="s">
        <v>183</v>
      </c>
      <c r="B60" s="317" t="s">
        <v>184</v>
      </c>
      <c r="C60" s="317"/>
      <c r="D60" s="317"/>
      <c r="E60" s="317"/>
      <c r="F60" s="317" t="s">
        <v>185</v>
      </c>
      <c r="G60" s="317"/>
    </row>
    <row r="61" spans="1:7" ht="18">
      <c r="A61" s="317"/>
      <c r="B61" s="317"/>
      <c r="C61" s="317"/>
      <c r="D61" s="317"/>
      <c r="E61" s="317"/>
      <c r="F61" s="317"/>
      <c r="G61" s="317"/>
    </row>
    <row r="62" spans="1:7" ht="18">
      <c r="A62" s="317"/>
      <c r="B62" s="317"/>
      <c r="C62" s="317"/>
      <c r="D62" s="317"/>
      <c r="E62" s="317"/>
      <c r="F62" s="317"/>
      <c r="G62" s="317"/>
    </row>
    <row r="63" spans="1:7" ht="18">
      <c r="A63" s="317"/>
      <c r="B63" s="317"/>
      <c r="C63" s="317"/>
      <c r="D63" s="317"/>
      <c r="E63" s="317"/>
      <c r="F63" s="317"/>
      <c r="G63" s="317"/>
    </row>
    <row r="64" spans="1:7" ht="18">
      <c r="A64" s="317"/>
      <c r="B64" s="317"/>
      <c r="C64" s="317"/>
      <c r="D64" s="317"/>
      <c r="E64" s="317"/>
      <c r="F64" s="317"/>
      <c r="G64" s="317"/>
    </row>
    <row r="65" spans="1:7" ht="18">
      <c r="A65" s="317"/>
      <c r="B65" s="317"/>
      <c r="C65" s="317"/>
      <c r="D65" s="317"/>
      <c r="E65" s="317"/>
      <c r="F65" s="317"/>
      <c r="G65" s="31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09" t="s">
        <v>230</v>
      </c>
      <c r="B68" s="1239" t="s">
        <v>187</v>
      </c>
      <c r="C68" s="1236"/>
      <c r="D68" s="1236"/>
      <c r="E68" s="369"/>
      <c r="F68" s="1240" t="s">
        <v>188</v>
      </c>
      <c r="G68" s="1241"/>
    </row>
    <row r="69" spans="1:7" ht="18">
      <c r="A69" s="371" t="s">
        <v>231</v>
      </c>
      <c r="B69" s="1235" t="s">
        <v>190</v>
      </c>
      <c r="C69" s="1236"/>
      <c r="D69" s="1236"/>
      <c r="E69" s="372"/>
      <c r="F69" s="1237" t="s">
        <v>191</v>
      </c>
      <c r="G69" s="1241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6.5">
      <c r="A72" s="1238" t="s">
        <v>194</v>
      </c>
      <c r="B72" s="1238"/>
      <c r="C72" s="1238"/>
      <c r="D72" s="1238"/>
      <c r="E72" s="1238"/>
      <c r="F72" s="1238"/>
      <c r="G72" s="1238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 ht="18">
      <c r="A249" s="317"/>
      <c r="B249" s="317"/>
      <c r="C249" s="317"/>
      <c r="D249" s="317"/>
      <c r="E249" s="317"/>
      <c r="F249" s="317"/>
      <c r="G249" s="317"/>
    </row>
    <row r="250" spans="1:7" ht="18">
      <c r="A250" s="317"/>
      <c r="B250" s="317"/>
      <c r="C250" s="317"/>
      <c r="D250" s="317"/>
      <c r="E250" s="317"/>
      <c r="F250" s="317"/>
      <c r="G250" s="317"/>
    </row>
    <row r="251" spans="1:7" ht="18">
      <c r="A251" s="317"/>
      <c r="B251" s="317"/>
      <c r="C251" s="317"/>
      <c r="D251" s="317"/>
      <c r="E251" s="317"/>
      <c r="F251" s="317"/>
      <c r="G251" s="317"/>
    </row>
    <row r="252" spans="1:7" ht="18">
      <c r="A252" s="317"/>
      <c r="B252" s="317"/>
      <c r="C252" s="317"/>
      <c r="D252" s="317"/>
      <c r="E252" s="317"/>
      <c r="F252" s="317"/>
      <c r="G252" s="317"/>
    </row>
    <row r="253" spans="1:7" ht="18">
      <c r="A253" s="317"/>
      <c r="B253" s="317"/>
      <c r="C253" s="317"/>
      <c r="D253" s="317"/>
      <c r="E253" s="317"/>
      <c r="F253" s="317"/>
      <c r="G253" s="317"/>
    </row>
    <row r="254" spans="1:7" ht="18">
      <c r="A254" s="317"/>
      <c r="B254" s="317"/>
      <c r="C254" s="317"/>
      <c r="D254" s="317"/>
      <c r="E254" s="317"/>
      <c r="F254" s="317"/>
      <c r="G254" s="317"/>
    </row>
    <row r="255" spans="1:7" ht="18">
      <c r="A255" s="317"/>
      <c r="B255" s="317"/>
      <c r="C255" s="317"/>
      <c r="D255" s="317"/>
      <c r="E255" s="317"/>
      <c r="F255" s="317"/>
      <c r="G255" s="317"/>
    </row>
    <row r="256" spans="1:7" ht="18">
      <c r="A256" s="317"/>
      <c r="B256" s="317"/>
      <c r="C256" s="317"/>
      <c r="D256" s="317"/>
      <c r="E256" s="317"/>
      <c r="F256" s="317"/>
      <c r="G256" s="317"/>
    </row>
    <row r="257" spans="1:7" ht="18">
      <c r="A257" s="317"/>
      <c r="B257" s="317"/>
      <c r="C257" s="317"/>
      <c r="D257" s="317"/>
      <c r="E257" s="317"/>
      <c r="F257" s="317"/>
      <c r="G257" s="317"/>
    </row>
    <row r="258" spans="1:7" ht="18">
      <c r="A258" s="317"/>
      <c r="B258" s="317"/>
      <c r="C258" s="317"/>
      <c r="D258" s="317"/>
      <c r="E258" s="317"/>
      <c r="F258" s="317"/>
      <c r="G258" s="317"/>
    </row>
    <row r="259" spans="1:7" ht="18">
      <c r="A259" s="317"/>
      <c r="B259" s="317"/>
      <c r="C259" s="317"/>
      <c r="D259" s="317"/>
      <c r="E259" s="317"/>
      <c r="F259" s="317"/>
      <c r="G259" s="317"/>
    </row>
    <row r="260" spans="1:7" ht="18">
      <c r="A260" s="317"/>
      <c r="B260" s="317"/>
      <c r="C260" s="317"/>
      <c r="D260" s="317"/>
      <c r="E260" s="317"/>
      <c r="F260" s="317"/>
      <c r="G260" s="317"/>
    </row>
    <row r="261" spans="1:7" ht="18">
      <c r="A261" s="317"/>
      <c r="B261" s="317"/>
      <c r="C261" s="317"/>
      <c r="D261" s="317"/>
      <c r="E261" s="317"/>
      <c r="F261" s="317"/>
      <c r="G261" s="317"/>
    </row>
    <row r="262" spans="1:7" ht="18">
      <c r="A262" s="317"/>
      <c r="B262" s="317"/>
      <c r="C262" s="317"/>
      <c r="D262" s="317"/>
      <c r="E262" s="317"/>
      <c r="F262" s="317"/>
      <c r="G262" s="317"/>
    </row>
    <row r="263" spans="1:7" ht="18">
      <c r="A263" s="317"/>
      <c r="B263" s="317"/>
      <c r="C263" s="317"/>
      <c r="D263" s="317"/>
      <c r="E263" s="317"/>
      <c r="F263" s="317"/>
      <c r="G263" s="317"/>
    </row>
    <row r="264" spans="1:7" ht="18">
      <c r="A264" s="317"/>
      <c r="B264" s="317"/>
      <c r="C264" s="317"/>
      <c r="D264" s="317"/>
      <c r="E264" s="317"/>
      <c r="F264" s="317"/>
      <c r="G264" s="317"/>
    </row>
    <row r="265" spans="1:7" ht="18">
      <c r="A265" s="317"/>
      <c r="B265" s="317"/>
      <c r="C265" s="317"/>
      <c r="D265" s="317"/>
      <c r="E265" s="317"/>
      <c r="F265" s="317"/>
      <c r="G265" s="317"/>
    </row>
    <row r="266" spans="1:7" ht="18">
      <c r="A266" s="317"/>
      <c r="B266" s="317"/>
      <c r="C266" s="317"/>
      <c r="D266" s="317"/>
      <c r="E266" s="317"/>
      <c r="F266" s="317"/>
      <c r="G266" s="317"/>
    </row>
    <row r="267" spans="1:7" ht="18">
      <c r="A267" s="317"/>
      <c r="B267" s="317"/>
      <c r="C267" s="317"/>
      <c r="D267" s="317"/>
      <c r="E267" s="317"/>
      <c r="F267" s="317"/>
      <c r="G267" s="317"/>
    </row>
    <row r="268" spans="1:7" ht="18">
      <c r="A268" s="317"/>
      <c r="B268" s="317"/>
      <c r="C268" s="317"/>
      <c r="D268" s="317"/>
      <c r="E268" s="317"/>
      <c r="F268" s="317"/>
      <c r="G268" s="317"/>
    </row>
    <row r="269" spans="1:7" ht="18">
      <c r="A269" s="317"/>
      <c r="B269" s="317"/>
      <c r="C269" s="317"/>
      <c r="D269" s="317"/>
      <c r="E269" s="317"/>
      <c r="F269" s="317"/>
      <c r="G269" s="31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</sheetData>
  <sheetProtection algorithmName="SHA-512" hashValue="Ki0qwpbqi1dFDaAz6KiAySGAK+MQulaJsaMkLk1DZ/681d7rBh3LlsEzGN/WT8PMn1ytHQ7ivbpqckvnWNkymw==" saltValue="Ql4AdzIkaV6B/NGx/vJv5w==" spinCount="100000" sheet="1" objects="1" scenarios="1"/>
  <mergeCells count="15">
    <mergeCell ref="A72:G72"/>
    <mergeCell ref="B55:D55"/>
    <mergeCell ref="F55:G55"/>
    <mergeCell ref="B68:D68"/>
    <mergeCell ref="F68:G68"/>
    <mergeCell ref="B69:D69"/>
    <mergeCell ref="F69:G69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3BF0D-7895-43CD-87DF-3B609409FFE0}">
  <dimension ref="A1:I267"/>
  <sheetViews>
    <sheetView topLeftCell="A37" workbookViewId="0">
      <selection activeCell="A98" sqref="A98:G98"/>
    </sheetView>
  </sheetViews>
  <sheetFormatPr defaultColWidth="8.85546875" defaultRowHeight="15"/>
  <cols>
    <col min="1" max="1" width="50.140625" style="517" customWidth="1"/>
    <col min="2" max="2" width="15" style="517" customWidth="1"/>
    <col min="3" max="7" width="16.42578125" style="517" customWidth="1"/>
    <col min="8" max="8" width="8.85546875" style="314"/>
    <col min="9" max="9" width="17.7109375" style="314" bestFit="1" customWidth="1"/>
    <col min="10" max="16384" width="8.85546875" style="314"/>
  </cols>
  <sheetData>
    <row r="1" spans="1:7" ht="18">
      <c r="A1" s="438" t="s">
        <v>13</v>
      </c>
      <c r="B1" s="439"/>
      <c r="C1" s="440"/>
      <c r="D1" s="440"/>
      <c r="E1" s="440"/>
      <c r="F1" s="439"/>
      <c r="G1" s="439"/>
    </row>
    <row r="2" spans="1:7" ht="21">
      <c r="A2" s="1250" t="s">
        <v>0</v>
      </c>
      <c r="B2" s="1251"/>
      <c r="C2" s="1251"/>
      <c r="D2" s="1251"/>
      <c r="E2" s="1251"/>
      <c r="F2" s="1251"/>
      <c r="G2" s="1251"/>
    </row>
    <row r="3" spans="1:7" ht="18">
      <c r="A3" s="1252" t="s">
        <v>14</v>
      </c>
      <c r="B3" s="1251"/>
      <c r="C3" s="1251"/>
      <c r="D3" s="1251"/>
      <c r="E3" s="1251"/>
      <c r="F3" s="1251"/>
      <c r="G3" s="1251"/>
    </row>
    <row r="4" spans="1:7" ht="18">
      <c r="A4" s="442"/>
      <c r="B4" s="442"/>
      <c r="C4" s="443"/>
      <c r="D4" s="443"/>
      <c r="E4" s="443"/>
      <c r="F4" s="442"/>
      <c r="G4" s="442"/>
    </row>
    <row r="5" spans="1:7" ht="18.75" thickBot="1">
      <c r="A5" s="442" t="s">
        <v>560</v>
      </c>
      <c r="B5" s="442"/>
      <c r="C5" s="442"/>
      <c r="D5" s="444"/>
      <c r="E5" s="442"/>
      <c r="F5" s="442"/>
      <c r="G5" s="442"/>
    </row>
    <row r="6" spans="1:7" ht="19.149999999999999" customHeight="1" thickTop="1" thickBot="1">
      <c r="A6" s="1253" t="s">
        <v>16</v>
      </c>
      <c r="B6" s="1253" t="s">
        <v>17</v>
      </c>
      <c r="C6" s="1255" t="s">
        <v>561</v>
      </c>
      <c r="D6" s="1256" t="s">
        <v>562</v>
      </c>
      <c r="E6" s="1257"/>
      <c r="F6" s="1258"/>
      <c r="G6" s="1228" t="s">
        <v>556</v>
      </c>
    </row>
    <row r="7" spans="1:7" ht="35.25" thickTop="1">
      <c r="A7" s="1254"/>
      <c r="B7" s="1254"/>
      <c r="C7" s="1254"/>
      <c r="D7" s="445" t="s">
        <v>21</v>
      </c>
      <c r="E7" s="445" t="s">
        <v>22</v>
      </c>
      <c r="F7" s="1253" t="s">
        <v>23</v>
      </c>
      <c r="G7" s="1234"/>
    </row>
    <row r="8" spans="1:7" ht="18">
      <c r="A8" s="1254"/>
      <c r="B8" s="1254"/>
      <c r="C8" s="1254"/>
      <c r="D8" s="446" t="s">
        <v>24</v>
      </c>
      <c r="E8" s="446" t="s">
        <v>25</v>
      </c>
      <c r="F8" s="1254"/>
      <c r="G8" s="1234"/>
    </row>
    <row r="9" spans="1:7" ht="18.75" thickBot="1">
      <c r="A9" s="447" t="s">
        <v>26</v>
      </c>
      <c r="B9" s="447" t="s">
        <v>27</v>
      </c>
      <c r="C9" s="448" t="s">
        <v>28</v>
      </c>
      <c r="D9" s="448" t="s">
        <v>29</v>
      </c>
      <c r="E9" s="448" t="s">
        <v>30</v>
      </c>
      <c r="F9" s="447" t="s">
        <v>31</v>
      </c>
      <c r="G9" s="447" t="s">
        <v>32</v>
      </c>
    </row>
    <row r="10" spans="1:7" ht="18.75" thickTop="1">
      <c r="A10" s="449" t="s">
        <v>33</v>
      </c>
      <c r="B10" s="450"/>
      <c r="C10" s="450"/>
      <c r="D10" s="450"/>
      <c r="E10" s="450"/>
      <c r="F10" s="451"/>
      <c r="G10" s="452"/>
    </row>
    <row r="11" spans="1:7" ht="18">
      <c r="A11" s="453" t="s">
        <v>34</v>
      </c>
      <c r="B11" s="454"/>
      <c r="C11" s="455"/>
      <c r="D11" s="456"/>
      <c r="E11" s="456"/>
      <c r="F11" s="457"/>
      <c r="G11" s="458"/>
    </row>
    <row r="12" spans="1:7" ht="18">
      <c r="A12" s="459" t="s">
        <v>35</v>
      </c>
      <c r="B12" s="460"/>
      <c r="C12" s="461"/>
      <c r="D12" s="462"/>
      <c r="E12" s="462"/>
      <c r="F12" s="463"/>
      <c r="G12" s="464"/>
    </row>
    <row r="13" spans="1:7" ht="18">
      <c r="A13" s="429" t="s">
        <v>36</v>
      </c>
      <c r="B13" s="465" t="s">
        <v>37</v>
      </c>
      <c r="C13" s="461">
        <v>4608459.8</v>
      </c>
      <c r="D13" s="462">
        <v>2108856</v>
      </c>
      <c r="E13" s="461">
        <f>F13-D13</f>
        <v>2959320</v>
      </c>
      <c r="F13" s="464">
        <v>5068176</v>
      </c>
      <c r="G13" s="464">
        <v>5410316</v>
      </c>
    </row>
    <row r="14" spans="1:7" ht="18">
      <c r="A14" s="466" t="s">
        <v>40</v>
      </c>
      <c r="B14" s="465"/>
      <c r="C14" s="461"/>
      <c r="D14" s="462"/>
      <c r="E14" s="462"/>
      <c r="F14" s="464"/>
      <c r="G14" s="464"/>
    </row>
    <row r="15" spans="1:7" ht="18">
      <c r="A15" s="429" t="s">
        <v>41</v>
      </c>
      <c r="B15" s="465" t="s">
        <v>42</v>
      </c>
      <c r="C15" s="461">
        <v>237090.92</v>
      </c>
      <c r="D15" s="462">
        <v>120000</v>
      </c>
      <c r="E15" s="461">
        <f t="shared" ref="E15:E18" si="0">F15-D15</f>
        <v>216000</v>
      </c>
      <c r="F15" s="464">
        <v>336000</v>
      </c>
      <c r="G15" s="464">
        <v>336000</v>
      </c>
    </row>
    <row r="16" spans="1:7" ht="18">
      <c r="A16" s="429" t="s">
        <v>43</v>
      </c>
      <c r="B16" s="465" t="s">
        <v>44</v>
      </c>
      <c r="C16" s="461">
        <v>90000</v>
      </c>
      <c r="D16" s="462">
        <v>45000</v>
      </c>
      <c r="E16" s="461">
        <f t="shared" si="0"/>
        <v>45000</v>
      </c>
      <c r="F16" s="464">
        <v>90000</v>
      </c>
      <c r="G16" s="464">
        <v>102000</v>
      </c>
    </row>
    <row r="17" spans="1:9" ht="18">
      <c r="A17" s="429" t="s">
        <v>45</v>
      </c>
      <c r="B17" s="465" t="s">
        <v>46</v>
      </c>
      <c r="C17" s="461">
        <v>90000</v>
      </c>
      <c r="D17" s="462">
        <v>45000</v>
      </c>
      <c r="E17" s="461">
        <f t="shared" si="0"/>
        <v>45000</v>
      </c>
      <c r="F17" s="464">
        <v>90000</v>
      </c>
      <c r="G17" s="464">
        <v>102000</v>
      </c>
    </row>
    <row r="18" spans="1:9" ht="18">
      <c r="A18" s="429" t="s">
        <v>47</v>
      </c>
      <c r="B18" s="465" t="s">
        <v>48</v>
      </c>
      <c r="C18" s="461">
        <v>54000</v>
      </c>
      <c r="D18" s="462">
        <v>54000</v>
      </c>
      <c r="E18" s="461">
        <f t="shared" si="0"/>
        <v>30000</v>
      </c>
      <c r="F18" s="464">
        <v>84000</v>
      </c>
      <c r="G18" s="464">
        <v>98000</v>
      </c>
    </row>
    <row r="19" spans="1:9" ht="18">
      <c r="A19" s="429" t="s">
        <v>49</v>
      </c>
      <c r="B19" s="465" t="s">
        <v>50</v>
      </c>
      <c r="C19" s="461">
        <v>46000</v>
      </c>
      <c r="D19" s="461">
        <v>0</v>
      </c>
      <c r="E19" s="461">
        <v>70000</v>
      </c>
      <c r="F19" s="464">
        <v>70000</v>
      </c>
      <c r="G19" s="464">
        <v>70000</v>
      </c>
    </row>
    <row r="20" spans="1:9" ht="18">
      <c r="A20" s="429" t="s">
        <v>51</v>
      </c>
      <c r="B20" s="465" t="s">
        <v>52</v>
      </c>
      <c r="C20" s="461">
        <v>0</v>
      </c>
      <c r="D20" s="462">
        <v>299703.8</v>
      </c>
      <c r="E20" s="462">
        <v>0</v>
      </c>
      <c r="F20" s="464">
        <v>300000</v>
      </c>
      <c r="G20" s="464">
        <v>300000</v>
      </c>
    </row>
    <row r="21" spans="1:9" ht="18">
      <c r="A21" s="429" t="s">
        <v>53</v>
      </c>
      <c r="B21" s="465" t="s">
        <v>54</v>
      </c>
      <c r="C21" s="461">
        <v>324476</v>
      </c>
      <c r="D21" s="462">
        <v>0</v>
      </c>
      <c r="E21" s="461">
        <f t="shared" ref="E21:E23" si="1">F21-D21</f>
        <v>422348</v>
      </c>
      <c r="F21" s="464">
        <v>422348</v>
      </c>
      <c r="G21" s="464">
        <v>462650</v>
      </c>
    </row>
    <row r="22" spans="1:9" ht="18">
      <c r="A22" s="429" t="s">
        <v>55</v>
      </c>
      <c r="B22" s="465" t="s">
        <v>56</v>
      </c>
      <c r="C22" s="461">
        <v>45000</v>
      </c>
      <c r="D22" s="462">
        <v>0</v>
      </c>
      <c r="E22" s="461">
        <f t="shared" si="1"/>
        <v>70000</v>
      </c>
      <c r="F22" s="464">
        <v>70000</v>
      </c>
      <c r="G22" s="464">
        <v>70000</v>
      </c>
    </row>
    <row r="23" spans="1:9" ht="18">
      <c r="A23" s="429" t="s">
        <v>57</v>
      </c>
      <c r="B23" s="465" t="s">
        <v>58</v>
      </c>
      <c r="C23" s="461">
        <v>361095</v>
      </c>
      <c r="D23" s="462">
        <v>351476</v>
      </c>
      <c r="E23" s="461">
        <f t="shared" si="1"/>
        <v>70872</v>
      </c>
      <c r="F23" s="464">
        <v>422348</v>
      </c>
      <c r="G23" s="464">
        <v>442438</v>
      </c>
    </row>
    <row r="24" spans="1:9" ht="18">
      <c r="A24" s="429" t="s">
        <v>557</v>
      </c>
      <c r="B24" s="465" t="s">
        <v>58</v>
      </c>
      <c r="C24" s="461"/>
      <c r="D24" s="462">
        <v>0</v>
      </c>
      <c r="E24" s="462">
        <v>0</v>
      </c>
      <c r="F24" s="464">
        <v>0</v>
      </c>
      <c r="G24" s="464">
        <v>98000</v>
      </c>
    </row>
    <row r="25" spans="1:9" ht="18">
      <c r="A25" s="466" t="s">
        <v>59</v>
      </c>
      <c r="B25" s="465"/>
      <c r="C25" s="461"/>
      <c r="D25" s="462"/>
      <c r="E25" s="462"/>
      <c r="F25" s="464"/>
      <c r="G25" s="464"/>
    </row>
    <row r="26" spans="1:9" ht="18">
      <c r="A26" s="429" t="s">
        <v>60</v>
      </c>
      <c r="B26" s="465" t="s">
        <v>61</v>
      </c>
      <c r="C26" s="461">
        <v>511761.96</v>
      </c>
      <c r="D26" s="462">
        <v>253062.72</v>
      </c>
      <c r="E26" s="461">
        <f t="shared" ref="E26:E29" si="2">F26-D26</f>
        <v>355118.4</v>
      </c>
      <c r="F26" s="464">
        <v>608181.12</v>
      </c>
      <c r="G26" s="464">
        <v>649237.92000000004</v>
      </c>
    </row>
    <row r="27" spans="1:9" ht="18">
      <c r="A27" s="429" t="s">
        <v>62</v>
      </c>
      <c r="B27" s="465" t="s">
        <v>63</v>
      </c>
      <c r="C27" s="461">
        <v>11900</v>
      </c>
      <c r="D27" s="462">
        <v>11000</v>
      </c>
      <c r="E27" s="461">
        <f t="shared" si="2"/>
        <v>5800</v>
      </c>
      <c r="F27" s="464">
        <v>16800</v>
      </c>
      <c r="G27" s="464">
        <v>33600</v>
      </c>
    </row>
    <row r="28" spans="1:9" ht="18">
      <c r="A28" s="429" t="s">
        <v>64</v>
      </c>
      <c r="B28" s="465" t="s">
        <v>65</v>
      </c>
      <c r="C28" s="461">
        <v>78628.210000000006</v>
      </c>
      <c r="D28" s="462">
        <v>59258.239999999998</v>
      </c>
      <c r="E28" s="461">
        <f t="shared" si="2"/>
        <v>54754.720000000008</v>
      </c>
      <c r="F28" s="464">
        <v>114012.96</v>
      </c>
      <c r="G28" s="464">
        <v>135257.9</v>
      </c>
    </row>
    <row r="29" spans="1:9" ht="18">
      <c r="A29" s="467" t="s">
        <v>66</v>
      </c>
      <c r="B29" s="468" t="s">
        <v>67</v>
      </c>
      <c r="C29" s="469">
        <v>11900</v>
      </c>
      <c r="D29" s="470">
        <v>6000</v>
      </c>
      <c r="E29" s="469">
        <f t="shared" si="2"/>
        <v>10800</v>
      </c>
      <c r="F29" s="471">
        <v>16800</v>
      </c>
      <c r="G29" s="471">
        <f>G27/2</f>
        <v>16800</v>
      </c>
    </row>
    <row r="30" spans="1:9" ht="18">
      <c r="A30" s="472" t="s">
        <v>59</v>
      </c>
      <c r="B30" s="473"/>
      <c r="C30" s="474"/>
      <c r="D30" s="474"/>
      <c r="E30" s="474"/>
      <c r="F30" s="475"/>
      <c r="G30" s="476"/>
    </row>
    <row r="31" spans="1:9" ht="18.75" thickBot="1">
      <c r="A31" s="467" t="s">
        <v>558</v>
      </c>
      <c r="B31" s="468" t="s">
        <v>520</v>
      </c>
      <c r="C31" s="477">
        <v>0</v>
      </c>
      <c r="D31" s="478">
        <v>0</v>
      </c>
      <c r="E31" s="479">
        <v>0</v>
      </c>
      <c r="F31" s="480">
        <v>0</v>
      </c>
      <c r="G31" s="480">
        <v>217291.45</v>
      </c>
    </row>
    <row r="32" spans="1:9" ht="19.5" thickTop="1" thickBot="1">
      <c r="A32" s="481" t="s">
        <v>71</v>
      </c>
      <c r="B32" s="482"/>
      <c r="C32" s="483">
        <f>SUM(C13:C29)</f>
        <v>6470311.8899999997</v>
      </c>
      <c r="D32" s="483">
        <f>SUM(D13:D29)</f>
        <v>3353356.7600000002</v>
      </c>
      <c r="E32" s="483">
        <f>SUM(E13:E29)</f>
        <v>4355013.12</v>
      </c>
      <c r="F32" s="483">
        <f>SUM(F13:F29)</f>
        <v>7708666.0800000001</v>
      </c>
      <c r="G32" s="483">
        <f>SUM(G13:G31)</f>
        <v>8543591.2699999996</v>
      </c>
      <c r="I32" s="484"/>
    </row>
    <row r="33" spans="1:7" ht="18.75" thickTop="1">
      <c r="A33" s="485" t="s">
        <v>72</v>
      </c>
      <c r="B33" s="486"/>
      <c r="C33" s="487"/>
      <c r="D33" s="487"/>
      <c r="E33" s="487"/>
      <c r="F33" s="488"/>
      <c r="G33" s="452"/>
    </row>
    <row r="34" spans="1:7" ht="18">
      <c r="A34" s="489" t="s">
        <v>75</v>
      </c>
      <c r="B34" s="490" t="s">
        <v>76</v>
      </c>
      <c r="C34" s="491">
        <v>0</v>
      </c>
      <c r="D34" s="491">
        <v>250000</v>
      </c>
      <c r="E34" s="461">
        <v>0</v>
      </c>
      <c r="F34" s="492">
        <v>250000</v>
      </c>
      <c r="G34" s="492">
        <v>212500</v>
      </c>
    </row>
    <row r="35" spans="1:7" ht="18">
      <c r="A35" s="489" t="s">
        <v>77</v>
      </c>
      <c r="B35" s="493" t="s">
        <v>78</v>
      </c>
      <c r="C35" s="461">
        <v>99449</v>
      </c>
      <c r="D35" s="461">
        <v>0</v>
      </c>
      <c r="E35" s="461">
        <f>F35-D35</f>
        <v>150000</v>
      </c>
      <c r="F35" s="494">
        <v>150000</v>
      </c>
      <c r="G35" s="494">
        <v>100000</v>
      </c>
    </row>
    <row r="36" spans="1:7" ht="18">
      <c r="A36" s="495" t="s">
        <v>563</v>
      </c>
      <c r="B36" s="465" t="s">
        <v>196</v>
      </c>
      <c r="C36" s="461">
        <v>1404570</v>
      </c>
      <c r="D36" s="461">
        <v>320249</v>
      </c>
      <c r="E36" s="461">
        <v>1412100</v>
      </c>
      <c r="F36" s="494">
        <v>900000</v>
      </c>
      <c r="G36" s="494">
        <v>900000</v>
      </c>
    </row>
    <row r="37" spans="1:7" ht="18">
      <c r="A37" s="496" t="s">
        <v>564</v>
      </c>
      <c r="B37" s="465" t="s">
        <v>80</v>
      </c>
      <c r="C37" s="461">
        <v>71928.91</v>
      </c>
      <c r="D37" s="461">
        <v>18472.43</v>
      </c>
      <c r="E37" s="461">
        <f t="shared" ref="E37:E43" si="3">F37-D37</f>
        <v>81527.570000000007</v>
      </c>
      <c r="F37" s="464">
        <v>100000</v>
      </c>
      <c r="G37" s="464">
        <v>85000</v>
      </c>
    </row>
    <row r="38" spans="1:7" ht="18">
      <c r="A38" s="429" t="s">
        <v>232</v>
      </c>
      <c r="B38" s="465" t="s">
        <v>82</v>
      </c>
      <c r="C38" s="461">
        <v>89804</v>
      </c>
      <c r="D38" s="460">
        <v>143816</v>
      </c>
      <c r="E38" s="461">
        <f t="shared" si="3"/>
        <v>18284</v>
      </c>
      <c r="F38" s="464">
        <v>162100</v>
      </c>
      <c r="G38" s="464">
        <v>137500</v>
      </c>
    </row>
    <row r="39" spans="1:7" ht="18">
      <c r="A39" s="489" t="s">
        <v>83</v>
      </c>
      <c r="B39" s="493" t="s">
        <v>84</v>
      </c>
      <c r="C39" s="461">
        <v>60000</v>
      </c>
      <c r="D39" s="461">
        <v>30000</v>
      </c>
      <c r="E39" s="461">
        <f t="shared" si="3"/>
        <v>30000</v>
      </c>
      <c r="F39" s="464">
        <v>60000</v>
      </c>
      <c r="G39" s="464">
        <v>60000</v>
      </c>
    </row>
    <row r="40" spans="1:7" ht="18">
      <c r="A40" s="489" t="s">
        <v>565</v>
      </c>
      <c r="B40" s="493" t="s">
        <v>86</v>
      </c>
      <c r="C40" s="461">
        <v>0</v>
      </c>
      <c r="D40" s="460">
        <v>0</v>
      </c>
      <c r="E40" s="461">
        <v>0</v>
      </c>
      <c r="F40" s="463">
        <v>0</v>
      </c>
      <c r="G40" s="464">
        <v>85000</v>
      </c>
    </row>
    <row r="41" spans="1:7" ht="36">
      <c r="A41" s="495" t="s">
        <v>566</v>
      </c>
      <c r="B41" s="465" t="s">
        <v>105</v>
      </c>
      <c r="C41" s="461">
        <v>0</v>
      </c>
      <c r="D41" s="460">
        <v>0</v>
      </c>
      <c r="E41" s="461">
        <f t="shared" si="3"/>
        <v>50000</v>
      </c>
      <c r="F41" s="464">
        <v>50000</v>
      </c>
      <c r="G41" s="464">
        <v>20000</v>
      </c>
    </row>
    <row r="42" spans="1:7" ht="18">
      <c r="A42" s="489" t="s">
        <v>233</v>
      </c>
      <c r="B42" s="465" t="s">
        <v>109</v>
      </c>
      <c r="C42" s="497"/>
      <c r="D42" s="498"/>
      <c r="E42" s="497"/>
      <c r="F42" s="499"/>
      <c r="G42" s="499"/>
    </row>
    <row r="43" spans="1:7" ht="36.75" thickBot="1">
      <c r="A43" s="500" t="s">
        <v>234</v>
      </c>
      <c r="B43" s="501"/>
      <c r="C43" s="497">
        <v>0</v>
      </c>
      <c r="D43" s="498">
        <v>0</v>
      </c>
      <c r="E43" s="461">
        <f t="shared" si="3"/>
        <v>100000</v>
      </c>
      <c r="F43" s="499">
        <v>100000</v>
      </c>
      <c r="G43" s="499">
        <v>0</v>
      </c>
    </row>
    <row r="44" spans="1:7" ht="19.5" thickTop="1" thickBot="1">
      <c r="A44" s="481" t="s">
        <v>162</v>
      </c>
      <c r="B44" s="502"/>
      <c r="C44" s="503">
        <f>SUM(C34:C43)</f>
        <v>1725751.91</v>
      </c>
      <c r="D44" s="504">
        <f>SUM(D34:D43)</f>
        <v>762537.43</v>
      </c>
      <c r="E44" s="504">
        <f>SUM(E34:E43)</f>
        <v>1841911.57</v>
      </c>
      <c r="F44" s="505">
        <f>SUM(F34:F43)</f>
        <v>1772100</v>
      </c>
      <c r="G44" s="503">
        <f>SUM(G34:G43)</f>
        <v>1600000</v>
      </c>
    </row>
    <row r="45" spans="1:7" ht="18.75" thickTop="1">
      <c r="A45" s="506" t="s">
        <v>163</v>
      </c>
      <c r="B45" s="507"/>
      <c r="C45" s="508"/>
      <c r="D45" s="508"/>
      <c r="E45" s="508"/>
      <c r="F45" s="508"/>
      <c r="G45" s="509"/>
    </row>
    <row r="46" spans="1:7" ht="18">
      <c r="A46" s="510" t="s">
        <v>567</v>
      </c>
      <c r="B46" s="511" t="s">
        <v>210</v>
      </c>
      <c r="C46" s="461">
        <v>0</v>
      </c>
      <c r="D46" s="461">
        <v>0</v>
      </c>
      <c r="E46" s="461">
        <v>0</v>
      </c>
      <c r="F46" s="461">
        <v>0</v>
      </c>
      <c r="G46" s="464">
        <v>2000000</v>
      </c>
    </row>
    <row r="47" spans="1:7" ht="18.75" thickBot="1">
      <c r="A47" s="512" t="s">
        <v>171</v>
      </c>
      <c r="B47" s="513"/>
      <c r="C47" s="514">
        <f t="shared" ref="C47:F47" si="4">SUM(C46)</f>
        <v>0</v>
      </c>
      <c r="D47" s="514">
        <f t="shared" si="4"/>
        <v>0</v>
      </c>
      <c r="E47" s="514">
        <f t="shared" si="4"/>
        <v>0</v>
      </c>
      <c r="F47" s="514">
        <f t="shared" si="4"/>
        <v>0</v>
      </c>
      <c r="G47" s="514">
        <f>SUM(G46)</f>
        <v>2000000</v>
      </c>
    </row>
    <row r="48" spans="1:7" ht="19.5" thickTop="1" thickBot="1">
      <c r="A48" s="481" t="s">
        <v>181</v>
      </c>
      <c r="B48" s="503"/>
      <c r="C48" s="483">
        <f t="shared" ref="C48:F48" si="5">C44+C32+C47</f>
        <v>8196063.7999999998</v>
      </c>
      <c r="D48" s="483">
        <f t="shared" si="5"/>
        <v>4115894.1900000004</v>
      </c>
      <c r="E48" s="483">
        <f t="shared" si="5"/>
        <v>6196924.6900000004</v>
      </c>
      <c r="F48" s="483">
        <f t="shared" si="5"/>
        <v>9480766.0800000001</v>
      </c>
      <c r="G48" s="483">
        <f>G44+G32+G47</f>
        <v>12143591.27</v>
      </c>
    </row>
    <row r="49" spans="1:7" ht="18.75" thickTop="1">
      <c r="A49" s="515"/>
      <c r="B49" s="515"/>
      <c r="C49" s="515"/>
      <c r="D49" s="515"/>
      <c r="E49" s="515"/>
      <c r="F49" s="515"/>
      <c r="G49" s="515"/>
    </row>
    <row r="50" spans="1:7" ht="18">
      <c r="A50" s="515"/>
      <c r="B50" s="516"/>
      <c r="C50" s="515"/>
      <c r="D50" s="515"/>
      <c r="E50" s="515"/>
      <c r="F50" s="515"/>
      <c r="G50" s="515"/>
    </row>
    <row r="51" spans="1:7" ht="18">
      <c r="A51" s="515"/>
      <c r="B51" s="515"/>
      <c r="C51" s="515"/>
      <c r="D51" s="515"/>
      <c r="E51" s="515"/>
      <c r="F51" s="515"/>
      <c r="G51" s="515" t="s">
        <v>182</v>
      </c>
    </row>
    <row r="52" spans="1:7" ht="18">
      <c r="A52" s="515"/>
      <c r="B52" s="515"/>
      <c r="C52" s="515"/>
      <c r="D52" s="515"/>
      <c r="E52" s="515"/>
      <c r="F52" s="515"/>
      <c r="G52" s="515"/>
    </row>
    <row r="53" spans="1:7" ht="18">
      <c r="A53" s="515"/>
      <c r="B53" s="515"/>
      <c r="C53" s="515"/>
      <c r="D53" s="515"/>
      <c r="E53" s="515"/>
      <c r="F53" s="515"/>
      <c r="G53" s="515"/>
    </row>
    <row r="54" spans="1:7" ht="18">
      <c r="A54" s="515"/>
      <c r="B54" s="515"/>
      <c r="C54" s="515"/>
      <c r="D54" s="515"/>
      <c r="E54" s="515"/>
      <c r="F54" s="515"/>
      <c r="G54" s="515"/>
    </row>
    <row r="55" spans="1:7" ht="18">
      <c r="A55" s="515"/>
      <c r="B55" s="515"/>
      <c r="C55" s="515"/>
      <c r="D55" s="515"/>
      <c r="E55" s="515"/>
      <c r="F55" s="515"/>
      <c r="G55" s="515"/>
    </row>
    <row r="56" spans="1:7" ht="18">
      <c r="A56" s="515"/>
      <c r="B56" s="515"/>
      <c r="C56" s="515"/>
      <c r="D56" s="515"/>
      <c r="E56" s="515"/>
      <c r="F56" s="515"/>
      <c r="G56" s="515"/>
    </row>
    <row r="57" spans="1:7" ht="18">
      <c r="A57" s="515"/>
      <c r="B57" s="515"/>
      <c r="C57" s="515"/>
      <c r="D57" s="515"/>
      <c r="E57" s="515"/>
      <c r="F57" s="515"/>
      <c r="G57" s="515"/>
    </row>
    <row r="58" spans="1:7" ht="18">
      <c r="A58" s="515"/>
      <c r="B58" s="515"/>
      <c r="C58" s="515"/>
      <c r="D58" s="515"/>
      <c r="E58" s="515"/>
      <c r="F58" s="515"/>
      <c r="G58" s="515"/>
    </row>
    <row r="59" spans="1:7" ht="18">
      <c r="A59" s="515" t="s">
        <v>183</v>
      </c>
      <c r="B59" s="515" t="s">
        <v>184</v>
      </c>
      <c r="C59" s="515"/>
      <c r="D59" s="515"/>
      <c r="F59" s="515" t="s">
        <v>185</v>
      </c>
      <c r="G59" s="515"/>
    </row>
    <row r="60" spans="1:7" ht="18">
      <c r="A60" s="515"/>
      <c r="B60" s="515"/>
      <c r="C60" s="515"/>
      <c r="D60" s="515"/>
      <c r="F60" s="515"/>
      <c r="G60" s="515"/>
    </row>
    <row r="61" spans="1:7" ht="18">
      <c r="A61" s="515"/>
      <c r="B61" s="515"/>
      <c r="C61" s="515"/>
      <c r="D61" s="515"/>
      <c r="F61" s="515"/>
      <c r="G61" s="515"/>
    </row>
    <row r="62" spans="1:7" ht="18">
      <c r="A62" s="515"/>
      <c r="B62" s="515"/>
      <c r="C62" s="515"/>
      <c r="D62" s="515"/>
      <c r="F62" s="515"/>
      <c r="G62" s="515"/>
    </row>
    <row r="63" spans="1:7" ht="18">
      <c r="A63" s="515"/>
      <c r="B63" s="515"/>
      <c r="C63" s="515"/>
      <c r="D63" s="515"/>
      <c r="F63" s="515"/>
      <c r="G63" s="515"/>
    </row>
    <row r="64" spans="1:7" ht="18">
      <c r="A64" s="515"/>
      <c r="B64" s="515"/>
      <c r="C64" s="515"/>
      <c r="D64" s="515"/>
      <c r="F64" s="515"/>
      <c r="G64" s="515"/>
    </row>
    <row r="65" spans="1:7" ht="18">
      <c r="A65" s="515" t="s">
        <v>235</v>
      </c>
      <c r="B65" s="515"/>
      <c r="C65" s="515"/>
      <c r="D65" s="515"/>
      <c r="F65" s="515"/>
      <c r="G65" s="515"/>
    </row>
    <row r="66" spans="1:7" ht="18">
      <c r="A66" s="518" t="s">
        <v>236</v>
      </c>
      <c r="B66" s="1246" t="s">
        <v>187</v>
      </c>
      <c r="C66" s="1247"/>
      <c r="D66" s="1247"/>
      <c r="F66" s="519" t="s">
        <v>188</v>
      </c>
      <c r="G66" s="441"/>
    </row>
    <row r="67" spans="1:7" ht="18">
      <c r="A67" s="520" t="s">
        <v>237</v>
      </c>
      <c r="B67" s="1248" t="s">
        <v>190</v>
      </c>
      <c r="C67" s="1247"/>
      <c r="D67" s="1247"/>
      <c r="E67" s="521"/>
      <c r="F67" s="1249" t="s">
        <v>191</v>
      </c>
      <c r="G67" s="1249"/>
    </row>
    <row r="68" spans="1:7" ht="18">
      <c r="A68" s="515"/>
      <c r="B68" s="515"/>
      <c r="C68" s="515"/>
      <c r="D68" s="515"/>
      <c r="E68" s="515"/>
      <c r="F68" s="515"/>
      <c r="G68" s="515"/>
    </row>
    <row r="69" spans="1:7" ht="18">
      <c r="A69" s="515"/>
      <c r="B69" s="515"/>
      <c r="C69" s="515"/>
      <c r="D69" s="515"/>
      <c r="E69" s="515"/>
      <c r="F69" s="515"/>
      <c r="G69" s="515"/>
    </row>
    <row r="70" spans="1:7" ht="16.5">
      <c r="A70" s="1238" t="s">
        <v>194</v>
      </c>
      <c r="B70" s="1238"/>
      <c r="C70" s="1238"/>
      <c r="D70" s="1238"/>
      <c r="E70" s="1238"/>
      <c r="F70" s="1238"/>
      <c r="G70" s="1238"/>
    </row>
    <row r="71" spans="1:7" ht="18">
      <c r="A71" s="515"/>
      <c r="B71" s="515"/>
      <c r="C71" s="515" t="s">
        <v>182</v>
      </c>
      <c r="D71" s="515"/>
      <c r="E71" s="515"/>
      <c r="F71" s="515"/>
      <c r="G71" s="515"/>
    </row>
    <row r="72" spans="1:7" ht="18">
      <c r="A72" s="515"/>
      <c r="B72" s="515"/>
      <c r="C72" s="515"/>
      <c r="D72" s="515"/>
      <c r="E72" s="515"/>
      <c r="F72" s="515"/>
      <c r="G72" s="515"/>
    </row>
    <row r="73" spans="1:7" ht="18">
      <c r="A73" s="515"/>
      <c r="B73" s="515"/>
      <c r="C73" s="515"/>
      <c r="D73" s="515"/>
      <c r="E73" s="515"/>
      <c r="F73" s="515"/>
      <c r="G73" s="515"/>
    </row>
    <row r="74" spans="1:7" ht="18">
      <c r="A74" s="515"/>
      <c r="B74" s="515"/>
      <c r="C74" s="515"/>
      <c r="D74" s="515"/>
      <c r="E74" s="515"/>
      <c r="F74" s="515"/>
      <c r="G74" s="515"/>
    </row>
    <row r="75" spans="1:7" ht="18">
      <c r="A75" s="515"/>
      <c r="B75" s="515"/>
      <c r="C75" s="515"/>
      <c r="D75" s="515"/>
      <c r="E75" s="515"/>
      <c r="F75" s="515"/>
      <c r="G75" s="515"/>
    </row>
    <row r="76" spans="1:7" ht="18">
      <c r="A76" s="515"/>
      <c r="B76" s="515"/>
      <c r="C76" s="515"/>
      <c r="D76" s="515"/>
      <c r="E76" s="515"/>
      <c r="F76" s="515"/>
      <c r="G76" s="515"/>
    </row>
    <row r="77" spans="1:7" ht="18">
      <c r="A77" s="515"/>
      <c r="B77" s="515"/>
      <c r="C77" s="515"/>
      <c r="D77" s="515"/>
      <c r="E77" s="515"/>
      <c r="F77" s="515"/>
      <c r="G77" s="515"/>
    </row>
    <row r="78" spans="1:7" ht="18">
      <c r="A78" s="515"/>
      <c r="B78" s="515"/>
      <c r="C78" s="515"/>
      <c r="D78" s="515"/>
      <c r="E78" s="515"/>
      <c r="F78" s="515"/>
      <c r="G78" s="515"/>
    </row>
    <row r="79" spans="1:7" ht="18">
      <c r="A79" s="515"/>
      <c r="B79" s="515"/>
      <c r="C79" s="515"/>
      <c r="D79" s="515"/>
      <c r="E79" s="515"/>
      <c r="F79" s="515"/>
      <c r="G79" s="515"/>
    </row>
    <row r="80" spans="1:7" ht="18">
      <c r="A80" s="515"/>
      <c r="B80" s="515"/>
      <c r="C80" s="515"/>
      <c r="D80" s="515"/>
      <c r="E80" s="515"/>
      <c r="F80" s="515"/>
      <c r="G80" s="515"/>
    </row>
    <row r="81" spans="1:7" ht="18">
      <c r="A81" s="515"/>
      <c r="B81" s="515"/>
      <c r="C81" s="515"/>
      <c r="D81" s="515"/>
      <c r="E81" s="515"/>
      <c r="F81" s="515"/>
      <c r="G81" s="515"/>
    </row>
    <row r="82" spans="1:7" ht="18">
      <c r="A82" s="515"/>
      <c r="B82" s="515"/>
      <c r="C82" s="515"/>
      <c r="D82" s="515"/>
      <c r="E82" s="515"/>
      <c r="F82" s="515"/>
      <c r="G82" s="515"/>
    </row>
    <row r="83" spans="1:7" ht="18">
      <c r="A83" s="515"/>
      <c r="B83" s="515"/>
      <c r="C83" s="515"/>
      <c r="D83" s="515"/>
      <c r="E83" s="515"/>
      <c r="F83" s="515"/>
      <c r="G83" s="515"/>
    </row>
    <row r="84" spans="1:7" ht="18">
      <c r="A84" s="515"/>
      <c r="B84" s="515"/>
      <c r="C84" s="515"/>
      <c r="D84" s="515"/>
      <c r="E84" s="515"/>
      <c r="F84" s="515"/>
      <c r="G84" s="515"/>
    </row>
    <row r="85" spans="1:7" ht="18">
      <c r="A85" s="515"/>
      <c r="B85" s="515"/>
      <c r="C85" s="515"/>
      <c r="D85" s="515"/>
      <c r="E85" s="515"/>
      <c r="F85" s="515"/>
      <c r="G85" s="515"/>
    </row>
    <row r="86" spans="1:7" ht="18">
      <c r="A86" s="515"/>
      <c r="B86" s="515"/>
      <c r="C86" s="515"/>
      <c r="D86" s="515"/>
      <c r="E86" s="515"/>
      <c r="F86" s="515"/>
      <c r="G86" s="515"/>
    </row>
    <row r="87" spans="1:7" ht="18">
      <c r="A87" s="515"/>
      <c r="B87" s="515"/>
      <c r="C87" s="515"/>
      <c r="D87" s="515"/>
      <c r="E87" s="515"/>
      <c r="F87" s="515"/>
      <c r="G87" s="515"/>
    </row>
    <row r="88" spans="1:7" ht="18">
      <c r="A88" s="515"/>
      <c r="B88" s="515"/>
      <c r="C88" s="515"/>
      <c r="D88" s="515"/>
      <c r="E88" s="515"/>
      <c r="F88" s="515"/>
      <c r="G88" s="515"/>
    </row>
    <row r="89" spans="1:7" ht="18">
      <c r="A89" s="515"/>
      <c r="B89" s="515"/>
      <c r="C89" s="515"/>
      <c r="D89" s="515"/>
      <c r="E89" s="515"/>
      <c r="F89" s="515"/>
      <c r="G89" s="515"/>
    </row>
    <row r="90" spans="1:7" ht="18">
      <c r="A90" s="515"/>
      <c r="B90" s="515"/>
      <c r="C90" s="515"/>
      <c r="D90" s="515"/>
      <c r="E90" s="515"/>
      <c r="F90" s="515"/>
      <c r="G90" s="515"/>
    </row>
    <row r="91" spans="1:7" ht="18">
      <c r="A91" s="515"/>
      <c r="B91" s="515"/>
      <c r="C91" s="515"/>
      <c r="D91" s="515"/>
      <c r="E91" s="515"/>
      <c r="F91" s="515"/>
      <c r="G91" s="515"/>
    </row>
    <row r="92" spans="1:7" ht="18">
      <c r="A92" s="515"/>
      <c r="B92" s="515"/>
      <c r="C92" s="515"/>
      <c r="D92" s="515"/>
      <c r="E92" s="515"/>
      <c r="F92" s="515"/>
      <c r="G92" s="515"/>
    </row>
    <row r="93" spans="1:7" ht="18">
      <c r="A93" s="515"/>
      <c r="B93" s="515"/>
      <c r="C93" s="515"/>
      <c r="D93" s="515"/>
      <c r="E93" s="515"/>
      <c r="F93" s="515"/>
      <c r="G93" s="515"/>
    </row>
    <row r="94" spans="1:7" ht="18">
      <c r="A94" s="515"/>
      <c r="B94" s="515"/>
      <c r="C94" s="515"/>
      <c r="D94" s="515"/>
      <c r="E94" s="515"/>
      <c r="F94" s="515"/>
      <c r="G94" s="515"/>
    </row>
    <row r="95" spans="1:7" ht="18">
      <c r="A95" s="515"/>
      <c r="B95" s="515"/>
      <c r="C95" s="515"/>
      <c r="D95" s="515"/>
      <c r="E95" s="515"/>
      <c r="F95" s="515"/>
      <c r="G95" s="515"/>
    </row>
    <row r="96" spans="1:7" ht="18">
      <c r="A96" s="515"/>
      <c r="B96" s="515"/>
      <c r="C96" s="515"/>
      <c r="D96" s="515"/>
      <c r="E96" s="515"/>
      <c r="F96" s="515"/>
      <c r="G96" s="515"/>
    </row>
    <row r="97" spans="1:7" ht="18">
      <c r="A97" s="515"/>
      <c r="B97" s="515"/>
      <c r="C97" s="515"/>
      <c r="D97" s="515"/>
      <c r="E97" s="515"/>
      <c r="F97" s="515"/>
      <c r="G97" s="515"/>
    </row>
    <row r="98" spans="1:7" ht="18">
      <c r="A98" s="515"/>
      <c r="B98" s="515"/>
      <c r="C98" s="515"/>
      <c r="D98" s="515"/>
      <c r="E98" s="515"/>
      <c r="F98" s="515"/>
      <c r="G98" s="515"/>
    </row>
    <row r="99" spans="1:7" ht="18">
      <c r="A99" s="515"/>
      <c r="B99" s="515"/>
      <c r="C99" s="515"/>
      <c r="D99" s="515"/>
      <c r="E99" s="515"/>
      <c r="F99" s="515"/>
      <c r="G99" s="515"/>
    </row>
    <row r="100" spans="1:7" ht="18">
      <c r="A100" s="515"/>
      <c r="B100" s="515"/>
      <c r="C100" s="515"/>
      <c r="D100" s="515"/>
      <c r="E100" s="515"/>
      <c r="F100" s="515"/>
      <c r="G100" s="515"/>
    </row>
    <row r="101" spans="1:7" ht="18">
      <c r="A101" s="515"/>
      <c r="B101" s="515"/>
      <c r="C101" s="515"/>
      <c r="D101" s="515"/>
      <c r="E101" s="515"/>
      <c r="F101" s="515"/>
      <c r="G101" s="515"/>
    </row>
    <row r="102" spans="1:7" ht="18">
      <c r="A102" s="515"/>
      <c r="B102" s="515"/>
      <c r="C102" s="515"/>
      <c r="D102" s="515"/>
      <c r="E102" s="515"/>
      <c r="F102" s="515"/>
      <c r="G102" s="515"/>
    </row>
    <row r="103" spans="1:7" ht="18">
      <c r="A103" s="515"/>
      <c r="B103" s="515"/>
      <c r="C103" s="515"/>
      <c r="D103" s="515"/>
      <c r="E103" s="515"/>
      <c r="F103" s="515"/>
      <c r="G103" s="515"/>
    </row>
    <row r="104" spans="1:7" ht="18">
      <c r="A104" s="515"/>
      <c r="B104" s="515"/>
      <c r="C104" s="515"/>
      <c r="D104" s="515"/>
      <c r="E104" s="515"/>
      <c r="F104" s="515"/>
      <c r="G104" s="515"/>
    </row>
    <row r="105" spans="1:7" ht="18">
      <c r="A105" s="515"/>
      <c r="B105" s="515"/>
      <c r="C105" s="515"/>
      <c r="D105" s="515"/>
      <c r="E105" s="515"/>
      <c r="F105" s="515"/>
      <c r="G105" s="515"/>
    </row>
    <row r="106" spans="1:7" ht="18">
      <c r="A106" s="515"/>
      <c r="B106" s="515"/>
      <c r="C106" s="515"/>
      <c r="D106" s="515"/>
      <c r="E106" s="515"/>
      <c r="F106" s="515"/>
      <c r="G106" s="515"/>
    </row>
    <row r="107" spans="1:7" ht="18">
      <c r="A107" s="515"/>
      <c r="B107" s="515"/>
      <c r="C107" s="515"/>
      <c r="D107" s="515"/>
      <c r="E107" s="515"/>
      <c r="F107" s="515"/>
      <c r="G107" s="515"/>
    </row>
    <row r="108" spans="1:7" ht="18">
      <c r="A108" s="515"/>
      <c r="B108" s="515"/>
      <c r="C108" s="515"/>
      <c r="D108" s="515"/>
      <c r="E108" s="515"/>
      <c r="F108" s="515"/>
      <c r="G108" s="515"/>
    </row>
    <row r="109" spans="1:7" ht="18">
      <c r="A109" s="515"/>
      <c r="B109" s="515"/>
      <c r="C109" s="515"/>
      <c r="D109" s="515"/>
      <c r="E109" s="515"/>
      <c r="F109" s="515"/>
      <c r="G109" s="515"/>
    </row>
    <row r="110" spans="1:7" ht="18">
      <c r="A110" s="515"/>
      <c r="B110" s="515"/>
      <c r="C110" s="515"/>
      <c r="D110" s="515"/>
      <c r="E110" s="515"/>
      <c r="F110" s="515"/>
      <c r="G110" s="515"/>
    </row>
    <row r="111" spans="1:7" ht="18">
      <c r="A111" s="515"/>
      <c r="B111" s="515"/>
      <c r="C111" s="515"/>
      <c r="D111" s="515"/>
      <c r="E111" s="515"/>
      <c r="F111" s="515"/>
      <c r="G111" s="515"/>
    </row>
    <row r="112" spans="1:7" ht="18">
      <c r="A112" s="515"/>
      <c r="B112" s="515"/>
      <c r="C112" s="515"/>
      <c r="D112" s="515"/>
      <c r="E112" s="515"/>
      <c r="F112" s="515"/>
      <c r="G112" s="515"/>
    </row>
    <row r="113" spans="1:7" ht="18">
      <c r="A113" s="515"/>
      <c r="B113" s="515"/>
      <c r="C113" s="515"/>
      <c r="D113" s="515"/>
      <c r="E113" s="515"/>
      <c r="F113" s="515"/>
      <c r="G113" s="515"/>
    </row>
    <row r="114" spans="1:7" ht="18">
      <c r="A114" s="515"/>
      <c r="B114" s="515"/>
      <c r="C114" s="515"/>
      <c r="D114" s="515"/>
      <c r="E114" s="515"/>
      <c r="F114" s="515"/>
      <c r="G114" s="515"/>
    </row>
    <row r="115" spans="1:7" ht="18">
      <c r="A115" s="515"/>
      <c r="B115" s="515"/>
      <c r="C115" s="515"/>
      <c r="D115" s="515"/>
      <c r="E115" s="515"/>
      <c r="F115" s="515"/>
      <c r="G115" s="515"/>
    </row>
    <row r="116" spans="1:7" ht="18">
      <c r="A116" s="515"/>
      <c r="B116" s="515"/>
      <c r="C116" s="515"/>
      <c r="D116" s="515"/>
      <c r="E116" s="515"/>
      <c r="F116" s="515"/>
      <c r="G116" s="515"/>
    </row>
    <row r="117" spans="1:7" ht="18">
      <c r="A117" s="515"/>
      <c r="B117" s="515"/>
      <c r="C117" s="515"/>
      <c r="D117" s="515"/>
      <c r="E117" s="515"/>
      <c r="F117" s="515"/>
      <c r="G117" s="515"/>
    </row>
    <row r="118" spans="1:7" ht="18">
      <c r="A118" s="515"/>
      <c r="B118" s="515"/>
      <c r="C118" s="515"/>
      <c r="D118" s="515"/>
      <c r="E118" s="515"/>
      <c r="F118" s="515"/>
      <c r="G118" s="515"/>
    </row>
    <row r="119" spans="1:7" ht="18">
      <c r="A119" s="515"/>
      <c r="B119" s="515"/>
      <c r="C119" s="515"/>
      <c r="D119" s="515"/>
      <c r="E119" s="515"/>
      <c r="F119" s="515"/>
      <c r="G119" s="515"/>
    </row>
    <row r="120" spans="1:7" ht="18">
      <c r="A120" s="515"/>
      <c r="B120" s="515"/>
      <c r="C120" s="515"/>
      <c r="D120" s="515"/>
      <c r="E120" s="515"/>
      <c r="F120" s="515"/>
      <c r="G120" s="515"/>
    </row>
    <row r="121" spans="1:7" ht="18">
      <c r="A121" s="515"/>
      <c r="B121" s="515"/>
      <c r="C121" s="515"/>
      <c r="D121" s="515"/>
      <c r="E121" s="515"/>
      <c r="F121" s="515"/>
      <c r="G121" s="515"/>
    </row>
    <row r="122" spans="1:7" ht="18">
      <c r="A122" s="515"/>
      <c r="B122" s="515"/>
      <c r="C122" s="515"/>
      <c r="D122" s="515"/>
      <c r="E122" s="515"/>
      <c r="F122" s="515"/>
      <c r="G122" s="515"/>
    </row>
    <row r="123" spans="1:7" ht="18">
      <c r="A123" s="515"/>
      <c r="B123" s="515"/>
      <c r="C123" s="515"/>
      <c r="D123" s="515"/>
      <c r="E123" s="515"/>
      <c r="F123" s="515"/>
      <c r="G123" s="515"/>
    </row>
    <row r="124" spans="1:7" ht="18">
      <c r="A124" s="515"/>
      <c r="B124" s="515"/>
      <c r="C124" s="515"/>
      <c r="D124" s="515"/>
      <c r="E124" s="515"/>
      <c r="F124" s="515"/>
      <c r="G124" s="515"/>
    </row>
    <row r="125" spans="1:7" ht="18">
      <c r="A125" s="515"/>
      <c r="B125" s="515"/>
      <c r="C125" s="515"/>
      <c r="D125" s="515"/>
      <c r="E125" s="515"/>
      <c r="F125" s="515"/>
      <c r="G125" s="515"/>
    </row>
    <row r="126" spans="1:7" ht="18">
      <c r="A126" s="515"/>
      <c r="B126" s="515"/>
      <c r="C126" s="515"/>
      <c r="D126" s="515"/>
      <c r="E126" s="515"/>
      <c r="F126" s="515"/>
      <c r="G126" s="515"/>
    </row>
    <row r="127" spans="1:7" ht="18">
      <c r="A127" s="515"/>
      <c r="B127" s="515"/>
      <c r="C127" s="515"/>
      <c r="D127" s="515"/>
      <c r="E127" s="515"/>
      <c r="F127" s="515"/>
      <c r="G127" s="515"/>
    </row>
    <row r="128" spans="1:7" ht="18">
      <c r="A128" s="515"/>
      <c r="B128" s="515"/>
      <c r="C128" s="515"/>
      <c r="D128" s="515"/>
      <c r="E128" s="515"/>
      <c r="F128" s="515"/>
      <c r="G128" s="515"/>
    </row>
    <row r="129" spans="1:7" ht="18">
      <c r="A129" s="515"/>
      <c r="B129" s="515"/>
      <c r="C129" s="515"/>
      <c r="D129" s="515"/>
      <c r="E129" s="515"/>
      <c r="F129" s="515"/>
      <c r="G129" s="515"/>
    </row>
    <row r="130" spans="1:7" ht="18">
      <c r="A130" s="515"/>
      <c r="B130" s="515"/>
      <c r="C130" s="515"/>
      <c r="D130" s="515"/>
      <c r="E130" s="515"/>
      <c r="F130" s="515"/>
      <c r="G130" s="515"/>
    </row>
    <row r="131" spans="1:7" ht="18">
      <c r="A131" s="515"/>
      <c r="B131" s="515"/>
      <c r="C131" s="515"/>
      <c r="D131" s="515"/>
      <c r="E131" s="515"/>
      <c r="F131" s="515"/>
      <c r="G131" s="515"/>
    </row>
    <row r="132" spans="1:7" ht="18">
      <c r="A132" s="515"/>
      <c r="B132" s="515"/>
      <c r="C132" s="515"/>
      <c r="D132" s="515"/>
      <c r="E132" s="515"/>
      <c r="F132" s="515"/>
      <c r="G132" s="515"/>
    </row>
    <row r="133" spans="1:7" ht="18">
      <c r="A133" s="515"/>
      <c r="B133" s="515"/>
      <c r="C133" s="515"/>
      <c r="D133" s="515"/>
      <c r="E133" s="515"/>
      <c r="F133" s="515"/>
      <c r="G133" s="515"/>
    </row>
    <row r="134" spans="1:7" ht="18">
      <c r="A134" s="515"/>
      <c r="B134" s="515"/>
      <c r="C134" s="515"/>
      <c r="D134" s="515"/>
      <c r="E134" s="515"/>
      <c r="F134" s="515"/>
      <c r="G134" s="515"/>
    </row>
    <row r="135" spans="1:7" ht="18">
      <c r="A135" s="515"/>
      <c r="B135" s="515"/>
      <c r="C135" s="515"/>
      <c r="D135" s="515"/>
      <c r="E135" s="515"/>
      <c r="F135" s="515"/>
      <c r="G135" s="515"/>
    </row>
    <row r="136" spans="1:7" ht="18">
      <c r="A136" s="515"/>
      <c r="B136" s="515"/>
      <c r="C136" s="515"/>
      <c r="D136" s="515"/>
      <c r="E136" s="515"/>
      <c r="F136" s="515"/>
      <c r="G136" s="515"/>
    </row>
    <row r="137" spans="1:7" ht="18">
      <c r="A137" s="515"/>
      <c r="B137" s="515"/>
      <c r="C137" s="515"/>
      <c r="D137" s="515"/>
      <c r="E137" s="515"/>
      <c r="F137" s="515"/>
      <c r="G137" s="515"/>
    </row>
    <row r="138" spans="1:7" ht="18">
      <c r="A138" s="515"/>
      <c r="B138" s="515"/>
      <c r="C138" s="515"/>
      <c r="D138" s="515"/>
      <c r="E138" s="515"/>
      <c r="F138" s="515"/>
      <c r="G138" s="515"/>
    </row>
    <row r="139" spans="1:7" ht="18">
      <c r="A139" s="515"/>
      <c r="B139" s="515"/>
      <c r="C139" s="515"/>
      <c r="D139" s="515"/>
      <c r="E139" s="515"/>
      <c r="F139" s="515"/>
      <c r="G139" s="515"/>
    </row>
    <row r="140" spans="1:7" ht="18">
      <c r="A140" s="515"/>
      <c r="B140" s="515"/>
      <c r="C140" s="515"/>
      <c r="D140" s="515"/>
      <c r="E140" s="515"/>
      <c r="F140" s="515"/>
      <c r="G140" s="515"/>
    </row>
    <row r="141" spans="1:7" ht="18">
      <c r="A141" s="515"/>
      <c r="B141" s="515"/>
      <c r="C141" s="515"/>
      <c r="D141" s="515"/>
      <c r="E141" s="515"/>
      <c r="F141" s="515"/>
      <c r="G141" s="515"/>
    </row>
    <row r="142" spans="1:7" ht="18">
      <c r="A142" s="515"/>
      <c r="B142" s="515"/>
      <c r="C142" s="515"/>
      <c r="D142" s="515"/>
      <c r="E142" s="515"/>
      <c r="F142" s="515"/>
      <c r="G142" s="515"/>
    </row>
    <row r="143" spans="1:7" ht="18">
      <c r="A143" s="515"/>
      <c r="B143" s="515"/>
      <c r="C143" s="515"/>
      <c r="D143" s="515"/>
      <c r="E143" s="515"/>
      <c r="F143" s="515"/>
      <c r="G143" s="515"/>
    </row>
    <row r="144" spans="1:7" ht="18">
      <c r="A144" s="515"/>
      <c r="B144" s="515"/>
      <c r="C144" s="515"/>
      <c r="D144" s="515"/>
      <c r="E144" s="515"/>
      <c r="F144" s="515"/>
      <c r="G144" s="515"/>
    </row>
    <row r="145" spans="1:7" ht="18">
      <c r="A145" s="515"/>
      <c r="B145" s="515"/>
      <c r="C145" s="515"/>
      <c r="D145" s="515"/>
      <c r="E145" s="515"/>
      <c r="F145" s="515"/>
      <c r="G145" s="515"/>
    </row>
    <row r="146" spans="1:7" ht="18">
      <c r="A146" s="515"/>
      <c r="B146" s="515"/>
      <c r="C146" s="515"/>
      <c r="D146" s="515"/>
      <c r="E146" s="515"/>
      <c r="F146" s="515"/>
      <c r="G146" s="515"/>
    </row>
    <row r="147" spans="1:7" ht="18">
      <c r="A147" s="515"/>
      <c r="B147" s="515"/>
      <c r="C147" s="515"/>
      <c r="D147" s="515"/>
      <c r="E147" s="515"/>
      <c r="F147" s="515"/>
      <c r="G147" s="515"/>
    </row>
    <row r="148" spans="1:7" ht="18">
      <c r="A148" s="515"/>
      <c r="B148" s="515"/>
      <c r="C148" s="515"/>
      <c r="D148" s="515"/>
      <c r="E148" s="515"/>
      <c r="F148" s="515"/>
      <c r="G148" s="515"/>
    </row>
    <row r="149" spans="1:7" ht="18">
      <c r="A149" s="515"/>
      <c r="B149" s="515"/>
      <c r="C149" s="515"/>
      <c r="D149" s="515"/>
      <c r="E149" s="515"/>
      <c r="F149" s="515"/>
      <c r="G149" s="515"/>
    </row>
    <row r="150" spans="1:7" ht="18">
      <c r="A150" s="515"/>
      <c r="B150" s="515"/>
      <c r="C150" s="515"/>
      <c r="D150" s="515"/>
      <c r="E150" s="515"/>
      <c r="F150" s="515"/>
      <c r="G150" s="515"/>
    </row>
    <row r="151" spans="1:7" ht="18">
      <c r="A151" s="515"/>
      <c r="B151" s="515"/>
      <c r="C151" s="515"/>
      <c r="D151" s="515"/>
      <c r="E151" s="515"/>
      <c r="F151" s="515"/>
      <c r="G151" s="515"/>
    </row>
    <row r="152" spans="1:7" ht="18">
      <c r="A152" s="515"/>
      <c r="B152" s="515"/>
      <c r="C152" s="515"/>
      <c r="D152" s="515"/>
      <c r="E152" s="515"/>
      <c r="F152" s="515"/>
      <c r="G152" s="515"/>
    </row>
    <row r="153" spans="1:7" ht="18">
      <c r="A153" s="515"/>
      <c r="B153" s="515"/>
      <c r="C153" s="515"/>
      <c r="D153" s="515"/>
      <c r="E153" s="515"/>
      <c r="F153" s="515"/>
      <c r="G153" s="515"/>
    </row>
    <row r="154" spans="1:7" ht="18">
      <c r="A154" s="515"/>
      <c r="B154" s="515"/>
      <c r="C154" s="515"/>
      <c r="D154" s="515"/>
      <c r="E154" s="515"/>
      <c r="F154" s="515"/>
      <c r="G154" s="515"/>
    </row>
    <row r="155" spans="1:7" ht="18">
      <c r="A155" s="515"/>
      <c r="B155" s="515"/>
      <c r="C155" s="515"/>
      <c r="D155" s="515"/>
      <c r="E155" s="515"/>
      <c r="F155" s="515"/>
      <c r="G155" s="515"/>
    </row>
    <row r="156" spans="1:7" ht="18">
      <c r="A156" s="515"/>
      <c r="B156" s="515"/>
      <c r="C156" s="515"/>
      <c r="D156" s="515"/>
      <c r="E156" s="515"/>
      <c r="F156" s="515"/>
      <c r="G156" s="515"/>
    </row>
    <row r="157" spans="1:7" ht="18">
      <c r="A157" s="515"/>
      <c r="B157" s="515"/>
      <c r="C157" s="515"/>
      <c r="D157" s="515"/>
      <c r="E157" s="515"/>
      <c r="F157" s="515"/>
      <c r="G157" s="515"/>
    </row>
    <row r="158" spans="1:7" ht="18">
      <c r="A158" s="515"/>
      <c r="B158" s="515"/>
      <c r="C158" s="515"/>
      <c r="D158" s="515"/>
      <c r="E158" s="515"/>
      <c r="F158" s="515"/>
      <c r="G158" s="515"/>
    </row>
    <row r="159" spans="1:7" ht="18">
      <c r="A159" s="515"/>
      <c r="B159" s="515"/>
      <c r="C159" s="515"/>
      <c r="D159" s="515"/>
      <c r="E159" s="515"/>
      <c r="F159" s="515"/>
      <c r="G159" s="515"/>
    </row>
    <row r="160" spans="1:7" ht="18">
      <c r="A160" s="515"/>
      <c r="B160" s="515"/>
      <c r="C160" s="515"/>
      <c r="D160" s="515"/>
      <c r="E160" s="515"/>
      <c r="F160" s="515"/>
      <c r="G160" s="515"/>
    </row>
    <row r="161" spans="1:7" ht="18">
      <c r="A161" s="515"/>
      <c r="B161" s="515"/>
      <c r="C161" s="515"/>
      <c r="D161" s="515"/>
      <c r="E161" s="515"/>
      <c r="F161" s="515"/>
      <c r="G161" s="515"/>
    </row>
    <row r="162" spans="1:7" ht="18">
      <c r="A162" s="515"/>
      <c r="B162" s="515"/>
      <c r="C162" s="515"/>
      <c r="D162" s="515"/>
      <c r="E162" s="515"/>
      <c r="F162" s="515"/>
      <c r="G162" s="515"/>
    </row>
    <row r="163" spans="1:7" ht="18">
      <c r="A163" s="515"/>
      <c r="B163" s="515"/>
      <c r="C163" s="515"/>
      <c r="D163" s="515"/>
      <c r="E163" s="515"/>
      <c r="F163" s="515"/>
      <c r="G163" s="515"/>
    </row>
    <row r="164" spans="1:7" ht="18">
      <c r="A164" s="515"/>
      <c r="B164" s="515"/>
      <c r="C164" s="515"/>
      <c r="D164" s="515"/>
      <c r="E164" s="515"/>
      <c r="F164" s="515"/>
      <c r="G164" s="515"/>
    </row>
    <row r="165" spans="1:7" ht="18">
      <c r="A165" s="515"/>
      <c r="B165" s="515"/>
      <c r="C165" s="515"/>
      <c r="D165" s="515"/>
      <c r="E165" s="515"/>
      <c r="F165" s="515"/>
      <c r="G165" s="515"/>
    </row>
    <row r="166" spans="1:7" ht="18">
      <c r="A166" s="515"/>
      <c r="B166" s="515"/>
      <c r="C166" s="515"/>
      <c r="D166" s="515"/>
      <c r="E166" s="515"/>
      <c r="F166" s="515"/>
      <c r="G166" s="515"/>
    </row>
    <row r="167" spans="1:7" ht="18">
      <c r="A167" s="515"/>
      <c r="B167" s="515"/>
      <c r="C167" s="515"/>
      <c r="D167" s="515"/>
      <c r="E167" s="515"/>
      <c r="F167" s="515"/>
      <c r="G167" s="515"/>
    </row>
    <row r="168" spans="1:7" ht="18">
      <c r="A168" s="515"/>
      <c r="B168" s="515"/>
      <c r="C168" s="515"/>
      <c r="D168" s="515"/>
      <c r="E168" s="515"/>
      <c r="F168" s="515"/>
      <c r="G168" s="515"/>
    </row>
    <row r="169" spans="1:7" ht="18">
      <c r="A169" s="515"/>
      <c r="B169" s="515"/>
      <c r="C169" s="515"/>
      <c r="D169" s="515"/>
      <c r="E169" s="515"/>
      <c r="F169" s="515"/>
      <c r="G169" s="515"/>
    </row>
    <row r="170" spans="1:7" ht="18">
      <c r="A170" s="515"/>
      <c r="B170" s="515"/>
      <c r="C170" s="515"/>
      <c r="D170" s="515"/>
      <c r="E170" s="515"/>
      <c r="F170" s="515"/>
      <c r="G170" s="515"/>
    </row>
    <row r="171" spans="1:7" ht="18">
      <c r="A171" s="515"/>
      <c r="B171" s="515"/>
      <c r="C171" s="515"/>
      <c r="D171" s="515"/>
      <c r="E171" s="515"/>
      <c r="F171" s="515"/>
      <c r="G171" s="515"/>
    </row>
    <row r="172" spans="1:7" ht="18">
      <c r="A172" s="515"/>
      <c r="B172" s="515"/>
      <c r="C172" s="515"/>
      <c r="D172" s="515"/>
      <c r="E172" s="515"/>
      <c r="F172" s="515"/>
      <c r="G172" s="515"/>
    </row>
    <row r="173" spans="1:7" ht="18">
      <c r="A173" s="515"/>
      <c r="B173" s="515"/>
      <c r="C173" s="515"/>
      <c r="D173" s="515"/>
      <c r="E173" s="515"/>
      <c r="F173" s="515"/>
      <c r="G173" s="515"/>
    </row>
    <row r="174" spans="1:7" ht="18">
      <c r="A174" s="515"/>
      <c r="B174" s="515"/>
      <c r="C174" s="515"/>
      <c r="D174" s="515"/>
      <c r="E174" s="515"/>
      <c r="F174" s="515"/>
      <c r="G174" s="515"/>
    </row>
    <row r="175" spans="1:7" ht="18">
      <c r="A175" s="515"/>
      <c r="B175" s="515"/>
      <c r="C175" s="515"/>
      <c r="D175" s="515"/>
      <c r="E175" s="515"/>
      <c r="F175" s="515"/>
      <c r="G175" s="515"/>
    </row>
    <row r="176" spans="1:7" ht="18">
      <c r="A176" s="515"/>
      <c r="B176" s="515"/>
      <c r="C176" s="515"/>
      <c r="D176" s="515"/>
      <c r="E176" s="515"/>
      <c r="F176" s="515"/>
      <c r="G176" s="515"/>
    </row>
    <row r="177" spans="1:7" ht="18">
      <c r="A177" s="515"/>
      <c r="B177" s="515"/>
      <c r="C177" s="515"/>
      <c r="D177" s="515"/>
      <c r="E177" s="515"/>
      <c r="F177" s="515"/>
      <c r="G177" s="515"/>
    </row>
    <row r="178" spans="1:7" ht="18">
      <c r="A178" s="515"/>
      <c r="B178" s="515"/>
      <c r="C178" s="515"/>
      <c r="D178" s="515"/>
      <c r="E178" s="515"/>
      <c r="F178" s="515"/>
      <c r="G178" s="515"/>
    </row>
    <row r="179" spans="1:7" ht="18">
      <c r="A179" s="515"/>
      <c r="B179" s="515"/>
      <c r="C179" s="515"/>
      <c r="D179" s="515"/>
      <c r="E179" s="515"/>
      <c r="F179" s="515"/>
      <c r="G179" s="515"/>
    </row>
    <row r="180" spans="1:7" ht="18">
      <c r="A180" s="515"/>
      <c r="B180" s="515"/>
      <c r="C180" s="515"/>
      <c r="D180" s="515"/>
      <c r="E180" s="515"/>
      <c r="F180" s="515"/>
      <c r="G180" s="515"/>
    </row>
    <row r="181" spans="1:7" ht="18">
      <c r="A181" s="515"/>
      <c r="B181" s="515"/>
      <c r="C181" s="515"/>
      <c r="D181" s="515"/>
      <c r="E181" s="515"/>
      <c r="F181" s="515"/>
      <c r="G181" s="515"/>
    </row>
    <row r="182" spans="1:7" ht="18">
      <c r="A182" s="515"/>
      <c r="B182" s="515"/>
      <c r="C182" s="515"/>
      <c r="D182" s="515"/>
      <c r="E182" s="515"/>
      <c r="F182" s="515"/>
      <c r="G182" s="515"/>
    </row>
    <row r="183" spans="1:7" ht="18">
      <c r="A183" s="515"/>
      <c r="B183" s="515"/>
      <c r="C183" s="515"/>
      <c r="D183" s="515"/>
      <c r="E183" s="515"/>
      <c r="F183" s="515"/>
      <c r="G183" s="515"/>
    </row>
    <row r="184" spans="1:7" ht="18">
      <c r="A184" s="515"/>
      <c r="B184" s="515"/>
      <c r="C184" s="515"/>
      <c r="D184" s="515"/>
      <c r="E184" s="515"/>
      <c r="F184" s="515"/>
      <c r="G184" s="515"/>
    </row>
    <row r="185" spans="1:7" ht="18">
      <c r="A185" s="515"/>
      <c r="B185" s="515"/>
      <c r="C185" s="515"/>
      <c r="D185" s="515"/>
      <c r="E185" s="515"/>
      <c r="F185" s="515"/>
      <c r="G185" s="515"/>
    </row>
    <row r="186" spans="1:7" ht="18">
      <c r="A186" s="515"/>
      <c r="B186" s="515"/>
      <c r="C186" s="515"/>
      <c r="D186" s="515"/>
      <c r="E186" s="515"/>
      <c r="F186" s="515"/>
      <c r="G186" s="515"/>
    </row>
    <row r="187" spans="1:7" ht="18">
      <c r="A187" s="515"/>
      <c r="B187" s="515"/>
      <c r="C187" s="515"/>
      <c r="D187" s="515"/>
      <c r="E187" s="515"/>
      <c r="F187" s="515"/>
      <c r="G187" s="515"/>
    </row>
    <row r="188" spans="1:7" ht="18">
      <c r="A188" s="515"/>
      <c r="B188" s="515"/>
      <c r="C188" s="515"/>
      <c r="D188" s="515"/>
      <c r="E188" s="515"/>
      <c r="F188" s="515"/>
      <c r="G188" s="515"/>
    </row>
    <row r="189" spans="1:7" ht="18">
      <c r="A189" s="515"/>
      <c r="B189" s="515"/>
      <c r="C189" s="515"/>
      <c r="D189" s="515"/>
      <c r="E189" s="515"/>
      <c r="F189" s="515"/>
      <c r="G189" s="515"/>
    </row>
    <row r="190" spans="1:7" ht="18">
      <c r="A190" s="515"/>
      <c r="B190" s="515"/>
      <c r="C190" s="515"/>
      <c r="D190" s="515"/>
      <c r="E190" s="515"/>
      <c r="F190" s="515"/>
      <c r="G190" s="515"/>
    </row>
    <row r="191" spans="1:7" ht="18">
      <c r="A191" s="515"/>
      <c r="B191" s="515"/>
      <c r="C191" s="515"/>
      <c r="D191" s="515"/>
      <c r="E191" s="515"/>
      <c r="F191" s="515"/>
      <c r="G191" s="515"/>
    </row>
    <row r="192" spans="1:7" ht="18">
      <c r="A192" s="515"/>
      <c r="B192" s="515"/>
      <c r="C192" s="515"/>
      <c r="D192" s="515"/>
      <c r="E192" s="515"/>
      <c r="F192" s="515"/>
      <c r="G192" s="515"/>
    </row>
    <row r="193" spans="1:7" ht="18">
      <c r="A193" s="515"/>
      <c r="B193" s="515"/>
      <c r="C193" s="515"/>
      <c r="D193" s="515"/>
      <c r="E193" s="515"/>
      <c r="F193" s="515"/>
      <c r="G193" s="515"/>
    </row>
    <row r="194" spans="1:7" ht="18">
      <c r="A194" s="515"/>
      <c r="B194" s="515"/>
      <c r="C194" s="515"/>
      <c r="D194" s="515"/>
      <c r="E194" s="515"/>
      <c r="F194" s="515"/>
      <c r="G194" s="515"/>
    </row>
    <row r="195" spans="1:7" ht="18">
      <c r="A195" s="515"/>
      <c r="B195" s="515"/>
      <c r="C195" s="515"/>
      <c r="D195" s="515"/>
      <c r="E195" s="515"/>
      <c r="F195" s="515"/>
      <c r="G195" s="515"/>
    </row>
    <row r="196" spans="1:7" ht="18">
      <c r="A196" s="515"/>
      <c r="B196" s="515"/>
      <c r="C196" s="515"/>
      <c r="D196" s="515"/>
      <c r="E196" s="515"/>
      <c r="F196" s="515"/>
      <c r="G196" s="515"/>
    </row>
    <row r="197" spans="1:7" ht="18">
      <c r="A197" s="515"/>
      <c r="B197" s="515"/>
      <c r="C197" s="515"/>
      <c r="D197" s="515"/>
      <c r="E197" s="515"/>
      <c r="F197" s="515"/>
      <c r="G197" s="515"/>
    </row>
    <row r="198" spans="1:7" ht="18">
      <c r="A198" s="515"/>
      <c r="B198" s="515"/>
      <c r="C198" s="515"/>
      <c r="D198" s="515"/>
      <c r="E198" s="515"/>
      <c r="F198" s="515"/>
      <c r="G198" s="515"/>
    </row>
    <row r="199" spans="1:7" ht="18">
      <c r="A199" s="515"/>
      <c r="B199" s="515"/>
      <c r="C199" s="515"/>
      <c r="D199" s="515"/>
      <c r="E199" s="515"/>
      <c r="F199" s="515"/>
      <c r="G199" s="515"/>
    </row>
    <row r="200" spans="1:7" ht="18">
      <c r="A200" s="515"/>
      <c r="B200" s="515"/>
      <c r="C200" s="515"/>
      <c r="D200" s="515"/>
      <c r="E200" s="515"/>
      <c r="F200" s="515"/>
      <c r="G200" s="515"/>
    </row>
    <row r="201" spans="1:7" ht="18">
      <c r="A201" s="515"/>
      <c r="B201" s="515"/>
      <c r="C201" s="515"/>
      <c r="D201" s="515"/>
      <c r="E201" s="515"/>
      <c r="F201" s="515"/>
      <c r="G201" s="515"/>
    </row>
    <row r="202" spans="1:7" ht="18">
      <c r="A202" s="515"/>
      <c r="B202" s="515"/>
      <c r="C202" s="515"/>
      <c r="D202" s="515"/>
      <c r="E202" s="515"/>
      <c r="F202" s="515"/>
      <c r="G202" s="515"/>
    </row>
    <row r="203" spans="1:7" ht="18">
      <c r="A203" s="515"/>
      <c r="B203" s="515"/>
      <c r="C203" s="515"/>
      <c r="D203" s="515"/>
      <c r="E203" s="515"/>
      <c r="F203" s="515"/>
      <c r="G203" s="515"/>
    </row>
    <row r="204" spans="1:7" ht="18">
      <c r="A204" s="515"/>
      <c r="B204" s="515"/>
      <c r="C204" s="515"/>
      <c r="D204" s="515"/>
      <c r="E204" s="515"/>
      <c r="F204" s="515"/>
      <c r="G204" s="515"/>
    </row>
    <row r="205" spans="1:7" ht="18">
      <c r="A205" s="515"/>
      <c r="B205" s="515"/>
      <c r="C205" s="515"/>
      <c r="D205" s="515"/>
      <c r="E205" s="515"/>
      <c r="F205" s="515"/>
      <c r="G205" s="515"/>
    </row>
    <row r="206" spans="1:7" ht="18">
      <c r="A206" s="515"/>
      <c r="B206" s="515"/>
      <c r="C206" s="515"/>
      <c r="D206" s="515"/>
      <c r="E206" s="515"/>
      <c r="F206" s="515"/>
      <c r="G206" s="515"/>
    </row>
    <row r="207" spans="1:7" ht="18">
      <c r="A207" s="515"/>
      <c r="B207" s="515"/>
      <c r="C207" s="515"/>
      <c r="D207" s="515"/>
      <c r="E207" s="515"/>
      <c r="F207" s="515"/>
      <c r="G207" s="515"/>
    </row>
    <row r="208" spans="1:7" ht="18">
      <c r="A208" s="515"/>
      <c r="B208" s="515"/>
      <c r="C208" s="515"/>
      <c r="D208" s="515"/>
      <c r="E208" s="515"/>
      <c r="F208" s="515"/>
      <c r="G208" s="515"/>
    </row>
    <row r="209" spans="1:7" ht="18">
      <c r="A209" s="515"/>
      <c r="B209" s="515"/>
      <c r="C209" s="515"/>
      <c r="D209" s="515"/>
      <c r="E209" s="515"/>
      <c r="F209" s="515"/>
      <c r="G209" s="515"/>
    </row>
    <row r="210" spans="1:7" ht="18">
      <c r="A210" s="515"/>
      <c r="B210" s="515"/>
      <c r="C210" s="515"/>
      <c r="D210" s="515"/>
      <c r="E210" s="515"/>
      <c r="F210" s="515"/>
      <c r="G210" s="515"/>
    </row>
    <row r="211" spans="1:7" ht="18">
      <c r="A211" s="515"/>
      <c r="B211" s="515"/>
      <c r="C211" s="515"/>
      <c r="D211" s="515"/>
      <c r="E211" s="515"/>
      <c r="F211" s="515"/>
      <c r="G211" s="515"/>
    </row>
    <row r="212" spans="1:7" ht="18">
      <c r="A212" s="515"/>
      <c r="B212" s="515"/>
      <c r="C212" s="515"/>
      <c r="D212" s="515"/>
      <c r="E212" s="515"/>
      <c r="F212" s="515"/>
      <c r="G212" s="515"/>
    </row>
    <row r="213" spans="1:7" ht="18">
      <c r="A213" s="515"/>
      <c r="B213" s="515"/>
      <c r="C213" s="515"/>
      <c r="D213" s="515"/>
      <c r="E213" s="515"/>
      <c r="F213" s="515"/>
      <c r="G213" s="515"/>
    </row>
    <row r="214" spans="1:7" ht="18">
      <c r="A214" s="515"/>
      <c r="B214" s="515"/>
      <c r="C214" s="515"/>
      <c r="D214" s="515"/>
      <c r="E214" s="515"/>
      <c r="F214" s="515"/>
      <c r="G214" s="515"/>
    </row>
    <row r="215" spans="1:7" ht="18">
      <c r="A215" s="515"/>
      <c r="B215" s="515"/>
      <c r="C215" s="515"/>
      <c r="D215" s="515"/>
      <c r="E215" s="515"/>
      <c r="F215" s="515"/>
      <c r="G215" s="515"/>
    </row>
    <row r="216" spans="1:7" ht="18">
      <c r="A216" s="515"/>
      <c r="B216" s="515"/>
      <c r="C216" s="515"/>
      <c r="D216" s="515"/>
      <c r="E216" s="515"/>
      <c r="F216" s="515"/>
      <c r="G216" s="515"/>
    </row>
    <row r="217" spans="1:7" ht="18">
      <c r="A217" s="515"/>
      <c r="B217" s="515"/>
      <c r="C217" s="515"/>
      <c r="D217" s="515"/>
      <c r="E217" s="515"/>
      <c r="F217" s="515"/>
      <c r="G217" s="515"/>
    </row>
    <row r="218" spans="1:7" ht="18">
      <c r="A218" s="515"/>
      <c r="B218" s="515"/>
      <c r="C218" s="515"/>
      <c r="D218" s="515"/>
      <c r="E218" s="515"/>
      <c r="F218" s="515"/>
      <c r="G218" s="515"/>
    </row>
    <row r="219" spans="1:7" ht="18">
      <c r="A219" s="515"/>
      <c r="B219" s="515"/>
      <c r="C219" s="515"/>
      <c r="D219" s="515"/>
      <c r="E219" s="515"/>
      <c r="F219" s="515"/>
      <c r="G219" s="515"/>
    </row>
    <row r="220" spans="1:7" ht="18">
      <c r="A220" s="515"/>
      <c r="B220" s="515"/>
      <c r="C220" s="515"/>
      <c r="D220" s="515"/>
      <c r="E220" s="515"/>
      <c r="F220" s="515"/>
      <c r="G220" s="515"/>
    </row>
    <row r="221" spans="1:7" ht="18">
      <c r="A221" s="515"/>
      <c r="B221" s="515"/>
      <c r="C221" s="515"/>
      <c r="D221" s="515"/>
      <c r="E221" s="515"/>
      <c r="F221" s="515"/>
      <c r="G221" s="515"/>
    </row>
    <row r="222" spans="1:7" ht="18">
      <c r="A222" s="515"/>
      <c r="B222" s="515"/>
      <c r="C222" s="515"/>
      <c r="D222" s="515"/>
      <c r="E222" s="515"/>
      <c r="F222" s="515"/>
      <c r="G222" s="515"/>
    </row>
    <row r="223" spans="1:7" ht="18">
      <c r="A223" s="515"/>
      <c r="B223" s="515"/>
      <c r="C223" s="515"/>
      <c r="D223" s="515"/>
      <c r="E223" s="515"/>
      <c r="F223" s="515"/>
      <c r="G223" s="515"/>
    </row>
    <row r="224" spans="1:7" ht="18">
      <c r="A224" s="515"/>
      <c r="B224" s="515"/>
      <c r="C224" s="515"/>
      <c r="D224" s="515"/>
      <c r="E224" s="515"/>
      <c r="F224" s="515"/>
      <c r="G224" s="515"/>
    </row>
    <row r="225" spans="1:7" ht="18">
      <c r="A225" s="515"/>
      <c r="B225" s="515"/>
      <c r="C225" s="515"/>
      <c r="D225" s="515"/>
      <c r="E225" s="515"/>
      <c r="F225" s="515"/>
      <c r="G225" s="515"/>
    </row>
    <row r="226" spans="1:7" ht="18">
      <c r="A226" s="515"/>
      <c r="B226" s="515"/>
      <c r="C226" s="515"/>
      <c r="D226" s="515"/>
      <c r="E226" s="515"/>
      <c r="F226" s="515"/>
      <c r="G226" s="515"/>
    </row>
    <row r="227" spans="1:7" ht="18">
      <c r="A227" s="515"/>
      <c r="B227" s="515"/>
      <c r="C227" s="515"/>
      <c r="D227" s="515"/>
      <c r="E227" s="515"/>
      <c r="F227" s="515"/>
      <c r="G227" s="515"/>
    </row>
    <row r="228" spans="1:7" ht="18">
      <c r="A228" s="515"/>
      <c r="B228" s="515"/>
      <c r="C228" s="515"/>
      <c r="D228" s="515"/>
      <c r="E228" s="515"/>
      <c r="F228" s="515"/>
      <c r="G228" s="515"/>
    </row>
    <row r="229" spans="1:7" ht="18">
      <c r="A229" s="515"/>
      <c r="B229" s="515"/>
      <c r="C229" s="515"/>
      <c r="D229" s="515"/>
      <c r="E229" s="515"/>
      <c r="F229" s="515"/>
      <c r="G229" s="515"/>
    </row>
    <row r="230" spans="1:7" ht="18">
      <c r="A230" s="515"/>
      <c r="B230" s="515"/>
      <c r="C230" s="515"/>
      <c r="D230" s="515"/>
      <c r="E230" s="515"/>
      <c r="F230" s="515"/>
      <c r="G230" s="515"/>
    </row>
    <row r="231" spans="1:7" ht="18">
      <c r="A231" s="515"/>
      <c r="B231" s="515"/>
      <c r="C231" s="515"/>
      <c r="D231" s="515"/>
      <c r="E231" s="515"/>
      <c r="F231" s="515"/>
      <c r="G231" s="515"/>
    </row>
    <row r="232" spans="1:7" ht="18">
      <c r="A232" s="515"/>
      <c r="B232" s="515"/>
      <c r="C232" s="515"/>
      <c r="D232" s="515"/>
      <c r="E232" s="515"/>
      <c r="F232" s="515"/>
      <c r="G232" s="515"/>
    </row>
    <row r="233" spans="1:7" ht="18">
      <c r="A233" s="515"/>
      <c r="B233" s="515"/>
      <c r="C233" s="515"/>
      <c r="D233" s="515"/>
      <c r="E233" s="515"/>
      <c r="F233" s="515"/>
      <c r="G233" s="515"/>
    </row>
    <row r="234" spans="1:7" ht="18">
      <c r="A234" s="515"/>
      <c r="B234" s="515"/>
      <c r="C234" s="515"/>
      <c r="D234" s="515"/>
      <c r="E234" s="515"/>
      <c r="F234" s="515"/>
      <c r="G234" s="515"/>
    </row>
    <row r="235" spans="1:7" ht="18">
      <c r="A235" s="515"/>
      <c r="B235" s="515"/>
      <c r="C235" s="515"/>
      <c r="D235" s="515"/>
      <c r="E235" s="515"/>
      <c r="F235" s="515"/>
      <c r="G235" s="515"/>
    </row>
    <row r="236" spans="1:7" ht="18">
      <c r="A236" s="515"/>
      <c r="B236" s="515"/>
      <c r="C236" s="515"/>
      <c r="D236" s="515"/>
      <c r="E236" s="515"/>
      <c r="F236" s="515"/>
      <c r="G236" s="515"/>
    </row>
    <row r="237" spans="1:7" ht="18">
      <c r="A237" s="515"/>
      <c r="B237" s="515"/>
      <c r="C237" s="515"/>
      <c r="D237" s="515"/>
      <c r="E237" s="515"/>
      <c r="F237" s="515"/>
      <c r="G237" s="515"/>
    </row>
    <row r="238" spans="1:7" ht="18">
      <c r="A238" s="515"/>
      <c r="B238" s="515"/>
      <c r="C238" s="515"/>
      <c r="D238" s="515"/>
      <c r="E238" s="515"/>
      <c r="F238" s="515"/>
      <c r="G238" s="515"/>
    </row>
    <row r="239" spans="1:7" ht="18">
      <c r="A239" s="515"/>
      <c r="B239" s="515"/>
      <c r="C239" s="515"/>
      <c r="D239" s="515"/>
      <c r="E239" s="515"/>
      <c r="F239" s="515"/>
      <c r="G239" s="515"/>
    </row>
    <row r="240" spans="1:7" ht="18">
      <c r="A240" s="515"/>
      <c r="B240" s="515"/>
      <c r="C240" s="515"/>
      <c r="D240" s="515"/>
      <c r="E240" s="515"/>
      <c r="F240" s="515"/>
      <c r="G240" s="515"/>
    </row>
    <row r="241" spans="1:7" ht="18">
      <c r="A241" s="515"/>
      <c r="B241" s="515"/>
      <c r="C241" s="515"/>
      <c r="D241" s="515"/>
      <c r="E241" s="515"/>
      <c r="F241" s="515"/>
      <c r="G241" s="515"/>
    </row>
    <row r="242" spans="1:7" ht="18">
      <c r="A242" s="515"/>
      <c r="B242" s="515"/>
      <c r="C242" s="515"/>
      <c r="D242" s="515"/>
      <c r="E242" s="515"/>
      <c r="F242" s="515"/>
      <c r="G242" s="515"/>
    </row>
    <row r="243" spans="1:7" ht="18">
      <c r="A243" s="515"/>
      <c r="B243" s="515"/>
      <c r="C243" s="515"/>
      <c r="D243" s="515"/>
      <c r="E243" s="515"/>
      <c r="F243" s="515"/>
      <c r="G243" s="515"/>
    </row>
    <row r="244" spans="1:7" ht="18">
      <c r="A244" s="515"/>
      <c r="B244" s="515"/>
      <c r="C244" s="515"/>
      <c r="D244" s="515"/>
      <c r="E244" s="515"/>
      <c r="F244" s="515"/>
      <c r="G244" s="515"/>
    </row>
    <row r="245" spans="1:7" ht="18">
      <c r="A245" s="515"/>
      <c r="B245" s="515"/>
      <c r="C245" s="515"/>
      <c r="D245" s="515"/>
      <c r="E245" s="515"/>
      <c r="F245" s="515"/>
      <c r="G245" s="515"/>
    </row>
    <row r="246" spans="1:7" ht="18">
      <c r="A246" s="515"/>
      <c r="B246" s="515"/>
      <c r="C246" s="515"/>
      <c r="D246" s="515"/>
      <c r="E246" s="515"/>
      <c r="F246" s="515"/>
      <c r="G246" s="515"/>
    </row>
    <row r="247" spans="1:7" ht="18">
      <c r="A247" s="515"/>
      <c r="B247" s="515"/>
      <c r="C247" s="515"/>
      <c r="D247" s="515"/>
      <c r="E247" s="515"/>
      <c r="F247" s="515"/>
      <c r="G247" s="515"/>
    </row>
    <row r="248" spans="1:7" ht="18">
      <c r="A248" s="515"/>
      <c r="B248" s="515"/>
      <c r="C248" s="515"/>
      <c r="D248" s="515"/>
      <c r="E248" s="515"/>
      <c r="F248" s="515"/>
      <c r="G248" s="515"/>
    </row>
    <row r="249" spans="1:7" ht="18">
      <c r="A249" s="515"/>
      <c r="B249" s="515"/>
      <c r="C249" s="515"/>
      <c r="D249" s="515"/>
      <c r="E249" s="515"/>
      <c r="F249" s="515"/>
      <c r="G249" s="515"/>
    </row>
    <row r="250" spans="1:7" ht="18">
      <c r="A250" s="515"/>
      <c r="B250" s="515"/>
      <c r="C250" s="515"/>
      <c r="D250" s="515"/>
      <c r="E250" s="515"/>
      <c r="F250" s="515"/>
      <c r="G250" s="515"/>
    </row>
    <row r="251" spans="1:7" ht="18">
      <c r="A251" s="515"/>
      <c r="B251" s="515"/>
      <c r="C251" s="515"/>
      <c r="D251" s="515"/>
      <c r="E251" s="515"/>
      <c r="F251" s="515"/>
      <c r="G251" s="515"/>
    </row>
    <row r="252" spans="1:7" ht="18">
      <c r="A252" s="515"/>
      <c r="B252" s="515"/>
      <c r="C252" s="515"/>
      <c r="D252" s="515"/>
      <c r="E252" s="515"/>
      <c r="F252" s="515"/>
      <c r="G252" s="515"/>
    </row>
    <row r="253" spans="1:7" ht="18">
      <c r="A253" s="515"/>
      <c r="B253" s="515"/>
      <c r="C253" s="515"/>
      <c r="D253" s="515"/>
      <c r="E253" s="515"/>
      <c r="F253" s="515"/>
      <c r="G253" s="515"/>
    </row>
    <row r="254" spans="1:7" ht="18">
      <c r="A254" s="515"/>
      <c r="B254" s="515"/>
      <c r="C254" s="515"/>
      <c r="D254" s="515"/>
      <c r="E254" s="515"/>
      <c r="F254" s="515"/>
      <c r="G254" s="515"/>
    </row>
    <row r="255" spans="1:7" ht="18">
      <c r="A255" s="515"/>
      <c r="B255" s="515"/>
      <c r="C255" s="515"/>
      <c r="D255" s="515"/>
      <c r="E255" s="515"/>
      <c r="F255" s="515"/>
      <c r="G255" s="515"/>
    </row>
    <row r="256" spans="1:7" ht="18">
      <c r="A256" s="515"/>
      <c r="B256" s="515"/>
      <c r="C256" s="515"/>
      <c r="D256" s="515"/>
      <c r="E256" s="515"/>
      <c r="F256" s="515"/>
      <c r="G256" s="515"/>
    </row>
    <row r="257" spans="1:7" ht="18">
      <c r="A257" s="515"/>
      <c r="B257" s="515"/>
      <c r="C257" s="515"/>
      <c r="D257" s="515"/>
      <c r="E257" s="515"/>
      <c r="F257" s="515"/>
      <c r="G257" s="515"/>
    </row>
    <row r="258" spans="1:7" ht="18">
      <c r="A258" s="515"/>
      <c r="B258" s="515"/>
      <c r="C258" s="515"/>
      <c r="D258" s="515"/>
      <c r="E258" s="515"/>
      <c r="F258" s="515"/>
      <c r="G258" s="515"/>
    </row>
    <row r="259" spans="1:7" ht="18">
      <c r="A259" s="515"/>
      <c r="B259" s="515"/>
      <c r="C259" s="515"/>
      <c r="D259" s="515"/>
      <c r="E259" s="515"/>
      <c r="F259" s="515"/>
      <c r="G259" s="515"/>
    </row>
    <row r="260" spans="1:7" ht="18">
      <c r="A260" s="515"/>
      <c r="B260" s="515"/>
      <c r="C260" s="515"/>
      <c r="D260" s="515"/>
      <c r="E260" s="515"/>
      <c r="F260" s="515"/>
      <c r="G260" s="515"/>
    </row>
    <row r="261" spans="1:7" ht="18">
      <c r="A261" s="515"/>
      <c r="B261" s="515"/>
      <c r="C261" s="515"/>
      <c r="D261" s="515"/>
      <c r="E261" s="515"/>
      <c r="F261" s="515"/>
      <c r="G261" s="515"/>
    </row>
    <row r="262" spans="1:7" ht="18">
      <c r="A262" s="515"/>
      <c r="B262" s="515"/>
      <c r="C262" s="515"/>
      <c r="D262" s="515"/>
      <c r="E262" s="515"/>
      <c r="F262" s="515"/>
      <c r="G262" s="515"/>
    </row>
    <row r="263" spans="1:7" ht="18">
      <c r="A263" s="515"/>
      <c r="B263" s="515"/>
      <c r="C263" s="515"/>
      <c r="D263" s="515"/>
      <c r="E263" s="515"/>
      <c r="F263" s="515"/>
      <c r="G263" s="515"/>
    </row>
    <row r="264" spans="1:7" ht="18">
      <c r="A264" s="515"/>
      <c r="B264" s="515"/>
      <c r="C264" s="515"/>
      <c r="D264" s="515"/>
      <c r="E264" s="515"/>
      <c r="F264" s="515"/>
      <c r="G264" s="515"/>
    </row>
    <row r="265" spans="1:7" ht="18">
      <c r="A265" s="515"/>
      <c r="B265" s="515"/>
      <c r="C265" s="515"/>
      <c r="D265" s="515"/>
      <c r="E265" s="515"/>
      <c r="F265" s="515"/>
      <c r="G265" s="515"/>
    </row>
    <row r="266" spans="1:7">
      <c r="A266" s="522"/>
      <c r="B266" s="522"/>
      <c r="C266" s="522"/>
      <c r="D266" s="522"/>
      <c r="E266" s="522"/>
      <c r="F266" s="522"/>
      <c r="G266" s="522"/>
    </row>
    <row r="267" spans="1:7">
      <c r="A267" s="522"/>
      <c r="B267" s="522"/>
      <c r="C267" s="522"/>
      <c r="D267" s="522"/>
      <c r="E267" s="522"/>
      <c r="F267" s="522"/>
      <c r="G267" s="522"/>
    </row>
  </sheetData>
  <sheetProtection algorithmName="SHA-512" hashValue="2dJ9FO7OcUnZNoyj/MCY38OpeqHUBRAp7u+qtuXChLc7b0SHtVVy1nFJQQp9jYtME9+M4JpFA2ALg/KdYb1PZg==" saltValue="SXv3fOkoBqjo+Qw48qR2Pw==" spinCount="100000" sheet="1" objects="1" scenarios="1"/>
  <mergeCells count="12">
    <mergeCell ref="B66:D66"/>
    <mergeCell ref="B67:D67"/>
    <mergeCell ref="F67:G67"/>
    <mergeCell ref="A70:G70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ACA0C-AC6A-406E-8784-F54511ABBD80}">
  <dimension ref="A1:K1003"/>
  <sheetViews>
    <sheetView topLeftCell="A52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10" width="8.85546875" style="314"/>
    <col min="11" max="11" width="13.42578125" style="314" bestFit="1" customWidth="1"/>
    <col min="12" max="16384" width="8.85546875" style="314"/>
  </cols>
  <sheetData>
    <row r="1" spans="1:7" ht="18">
      <c r="A1" s="523" t="s">
        <v>13</v>
      </c>
      <c r="B1" s="315"/>
      <c r="C1" s="316"/>
      <c r="D1" s="316"/>
      <c r="E1" s="316"/>
      <c r="F1" s="315"/>
      <c r="G1" s="315"/>
    </row>
    <row r="2" spans="1:7" ht="21">
      <c r="A2" s="1259" t="s">
        <v>0</v>
      </c>
      <c r="B2" s="1241"/>
      <c r="C2" s="1241"/>
      <c r="D2" s="1241"/>
      <c r="E2" s="1241"/>
      <c r="F2" s="1241"/>
      <c r="G2" s="1241"/>
    </row>
    <row r="3" spans="1:7" ht="18">
      <c r="A3" s="1260" t="s">
        <v>14</v>
      </c>
      <c r="B3" s="1241"/>
      <c r="C3" s="1241"/>
      <c r="D3" s="1241"/>
      <c r="E3" s="1241"/>
      <c r="F3" s="1241"/>
      <c r="G3" s="1241"/>
    </row>
    <row r="4" spans="1:7" ht="18.75" thickBot="1">
      <c r="A4" s="317" t="s">
        <v>667</v>
      </c>
      <c r="B4" s="315"/>
      <c r="C4" s="315"/>
      <c r="D4" s="396"/>
      <c r="E4" s="315"/>
      <c r="F4" s="315"/>
      <c r="G4" s="315"/>
    </row>
    <row r="5" spans="1:7" ht="16.5" thickTop="1" thickBot="1">
      <c r="A5" s="1261" t="s">
        <v>16</v>
      </c>
      <c r="B5" s="1261" t="s">
        <v>17</v>
      </c>
      <c r="C5" s="1262" t="s">
        <v>588</v>
      </c>
      <c r="D5" s="1263" t="s">
        <v>574</v>
      </c>
      <c r="E5" s="1242"/>
      <c r="F5" s="1243"/>
      <c r="G5" s="1228" t="s">
        <v>668</v>
      </c>
    </row>
    <row r="6" spans="1:7" ht="35.25" thickTop="1">
      <c r="A6" s="1234"/>
      <c r="B6" s="1234"/>
      <c r="C6" s="1234"/>
      <c r="D6" s="525" t="s">
        <v>21</v>
      </c>
      <c r="E6" s="525" t="s">
        <v>22</v>
      </c>
      <c r="F6" s="1261" t="s">
        <v>23</v>
      </c>
      <c r="G6" s="1234"/>
    </row>
    <row r="7" spans="1:7" ht="18">
      <c r="A7" s="1234"/>
      <c r="B7" s="1234"/>
      <c r="C7" s="1234"/>
      <c r="D7" s="526" t="s">
        <v>24</v>
      </c>
      <c r="E7" s="526" t="s">
        <v>25</v>
      </c>
      <c r="F7" s="1234"/>
      <c r="G7" s="1234"/>
    </row>
    <row r="8" spans="1:7" ht="18.75" thickBot="1">
      <c r="A8" s="527" t="s">
        <v>26</v>
      </c>
      <c r="B8" s="527" t="s">
        <v>27</v>
      </c>
      <c r="C8" s="528" t="s">
        <v>28</v>
      </c>
      <c r="D8" s="528" t="s">
        <v>29</v>
      </c>
      <c r="E8" s="528" t="s">
        <v>30</v>
      </c>
      <c r="F8" s="527" t="s">
        <v>31</v>
      </c>
      <c r="G8" s="527" t="s">
        <v>32</v>
      </c>
    </row>
    <row r="9" spans="1:7" ht="18.75" thickTop="1">
      <c r="A9" s="324" t="s">
        <v>33</v>
      </c>
      <c r="B9" s="325"/>
      <c r="C9" s="326"/>
      <c r="D9" s="326"/>
      <c r="E9" s="326"/>
      <c r="F9" s="326"/>
      <c r="G9" s="327"/>
    </row>
    <row r="10" spans="1:7" ht="18">
      <c r="A10" s="328" t="s">
        <v>34</v>
      </c>
      <c r="B10" s="329"/>
      <c r="C10" s="330"/>
      <c r="D10" s="331"/>
      <c r="E10" s="331"/>
      <c r="F10" s="331"/>
      <c r="G10" s="332"/>
    </row>
    <row r="11" spans="1:7" ht="18">
      <c r="A11" s="333" t="s">
        <v>35</v>
      </c>
      <c r="B11" s="334"/>
      <c r="C11" s="335"/>
      <c r="D11" s="336"/>
      <c r="E11" s="336"/>
      <c r="F11" s="336"/>
      <c r="G11" s="337"/>
    </row>
    <row r="12" spans="1:7" ht="18">
      <c r="A12" s="359" t="s">
        <v>36</v>
      </c>
      <c r="B12" s="360" t="s">
        <v>37</v>
      </c>
      <c r="C12" s="179">
        <v>4727064</v>
      </c>
      <c r="D12" s="239">
        <v>2363532</v>
      </c>
      <c r="E12" s="179">
        <f t="shared" ref="E12:E13" si="0">F12-D12</f>
        <v>3303096</v>
      </c>
      <c r="F12" s="182">
        <v>5666628</v>
      </c>
      <c r="G12" s="182">
        <v>6041574</v>
      </c>
    </row>
    <row r="13" spans="1:7" ht="18">
      <c r="A13" s="359" t="s">
        <v>216</v>
      </c>
      <c r="B13" s="360" t="s">
        <v>39</v>
      </c>
      <c r="C13" s="179">
        <v>766408.9</v>
      </c>
      <c r="D13" s="179">
        <v>390000</v>
      </c>
      <c r="E13" s="179">
        <f t="shared" si="0"/>
        <v>390000</v>
      </c>
      <c r="F13" s="182">
        <v>780000</v>
      </c>
      <c r="G13" s="182">
        <v>825075</v>
      </c>
    </row>
    <row r="14" spans="1:7" ht="18">
      <c r="A14" s="333" t="s">
        <v>40</v>
      </c>
      <c r="B14" s="360"/>
      <c r="C14" s="179"/>
      <c r="D14" s="239"/>
      <c r="E14" s="239"/>
      <c r="F14" s="182"/>
      <c r="G14" s="182"/>
    </row>
    <row r="15" spans="1:7" ht="18">
      <c r="A15" s="359" t="s">
        <v>41</v>
      </c>
      <c r="B15" s="360" t="s">
        <v>42</v>
      </c>
      <c r="C15" s="179">
        <v>333909.11</v>
      </c>
      <c r="D15" s="239">
        <v>168000</v>
      </c>
      <c r="E15" s="179">
        <f t="shared" ref="E15:E18" si="1">F15-D15</f>
        <v>240000</v>
      </c>
      <c r="F15" s="182">
        <v>408000</v>
      </c>
      <c r="G15" s="182">
        <v>408000</v>
      </c>
    </row>
    <row r="16" spans="1:7" ht="18">
      <c r="A16" s="359" t="s">
        <v>43</v>
      </c>
      <c r="B16" s="360" t="s">
        <v>44</v>
      </c>
      <c r="C16" s="179">
        <v>90000</v>
      </c>
      <c r="D16" s="239">
        <v>45000</v>
      </c>
      <c r="E16" s="179">
        <f t="shared" si="1"/>
        <v>45000</v>
      </c>
      <c r="F16" s="182">
        <v>90000</v>
      </c>
      <c r="G16" s="182">
        <v>102000</v>
      </c>
    </row>
    <row r="17" spans="1:7" ht="18">
      <c r="A17" s="359" t="s">
        <v>45</v>
      </c>
      <c r="B17" s="360" t="s">
        <v>46</v>
      </c>
      <c r="C17" s="179">
        <v>90000</v>
      </c>
      <c r="D17" s="239">
        <v>45000</v>
      </c>
      <c r="E17" s="179">
        <f t="shared" si="1"/>
        <v>45000</v>
      </c>
      <c r="F17" s="182">
        <v>90000</v>
      </c>
      <c r="G17" s="182">
        <v>102000</v>
      </c>
    </row>
    <row r="18" spans="1:7" ht="18">
      <c r="A18" s="359" t="s">
        <v>47</v>
      </c>
      <c r="B18" s="360" t="s">
        <v>48</v>
      </c>
      <c r="C18" s="179">
        <v>84000</v>
      </c>
      <c r="D18" s="529">
        <v>84000</v>
      </c>
      <c r="E18" s="179">
        <f t="shared" si="1"/>
        <v>18000</v>
      </c>
      <c r="F18" s="182">
        <v>102000</v>
      </c>
      <c r="G18" s="182">
        <v>119000</v>
      </c>
    </row>
    <row r="19" spans="1:7" ht="18">
      <c r="A19" s="359" t="s">
        <v>49</v>
      </c>
      <c r="B19" s="360" t="s">
        <v>50</v>
      </c>
      <c r="C19" s="264">
        <v>70000</v>
      </c>
      <c r="D19" s="264">
        <v>0</v>
      </c>
      <c r="E19" s="179">
        <v>85000</v>
      </c>
      <c r="F19" s="182">
        <v>85000</v>
      </c>
      <c r="G19" s="182">
        <v>85000</v>
      </c>
    </row>
    <row r="20" spans="1:7" ht="18">
      <c r="A20" s="359" t="s">
        <v>51</v>
      </c>
      <c r="B20" s="360" t="s">
        <v>52</v>
      </c>
      <c r="C20" s="264">
        <v>0</v>
      </c>
      <c r="D20" s="529">
        <v>0</v>
      </c>
      <c r="E20" s="264">
        <v>0</v>
      </c>
      <c r="F20" s="182">
        <v>200000</v>
      </c>
      <c r="G20" s="182">
        <v>200000</v>
      </c>
    </row>
    <row r="21" spans="1:7" ht="18">
      <c r="A21" s="359" t="s">
        <v>53</v>
      </c>
      <c r="B21" s="360" t="s">
        <v>54</v>
      </c>
      <c r="C21" s="179">
        <v>458922</v>
      </c>
      <c r="D21" s="529">
        <v>0</v>
      </c>
      <c r="E21" s="179">
        <f t="shared" ref="E21:E23" si="2">F21-D21</f>
        <v>537219</v>
      </c>
      <c r="F21" s="182">
        <v>537219</v>
      </c>
      <c r="G21" s="182">
        <v>586688</v>
      </c>
    </row>
    <row r="22" spans="1:7" ht="18">
      <c r="A22" s="359" t="s">
        <v>55</v>
      </c>
      <c r="B22" s="360" t="s">
        <v>56</v>
      </c>
      <c r="C22" s="179">
        <v>70000</v>
      </c>
      <c r="D22" s="529">
        <v>0</v>
      </c>
      <c r="E22" s="179">
        <f t="shared" si="2"/>
        <v>85000</v>
      </c>
      <c r="F22" s="182">
        <v>85000</v>
      </c>
      <c r="G22" s="182">
        <v>85000</v>
      </c>
    </row>
    <row r="23" spans="1:7" ht="18">
      <c r="A23" s="359" t="s">
        <v>57</v>
      </c>
      <c r="B23" s="360" t="s">
        <v>58</v>
      </c>
      <c r="C23" s="179">
        <v>445922</v>
      </c>
      <c r="D23" s="239">
        <v>458922</v>
      </c>
      <c r="E23" s="179">
        <f t="shared" si="2"/>
        <v>78297</v>
      </c>
      <c r="F23" s="182">
        <v>537219</v>
      </c>
      <c r="G23" s="182">
        <v>561887</v>
      </c>
    </row>
    <row r="24" spans="1:7" ht="18">
      <c r="A24" s="359" t="s">
        <v>557</v>
      </c>
      <c r="B24" s="360" t="s">
        <v>58</v>
      </c>
      <c r="C24" s="179">
        <v>0</v>
      </c>
      <c r="D24" s="239">
        <v>0</v>
      </c>
      <c r="E24" s="239"/>
      <c r="F24" s="182"/>
      <c r="G24" s="182">
        <v>119000</v>
      </c>
    </row>
    <row r="25" spans="1:7" ht="18">
      <c r="A25" s="333" t="s">
        <v>59</v>
      </c>
      <c r="B25" s="360"/>
      <c r="C25" s="179"/>
      <c r="D25" s="239"/>
      <c r="E25" s="239"/>
      <c r="F25" s="182"/>
      <c r="G25" s="182"/>
    </row>
    <row r="26" spans="1:7" ht="18">
      <c r="A26" s="359" t="s">
        <v>60</v>
      </c>
      <c r="B26" s="360" t="s">
        <v>61</v>
      </c>
      <c r="C26" s="179">
        <v>659187.03</v>
      </c>
      <c r="D26" s="239">
        <v>330423.84000000003</v>
      </c>
      <c r="E26" s="179">
        <f t="shared" ref="E26:E29" si="3">F26-D26</f>
        <v>443171.51999999996</v>
      </c>
      <c r="F26" s="182">
        <v>773595.36</v>
      </c>
      <c r="G26" s="182">
        <v>823997.88</v>
      </c>
    </row>
    <row r="27" spans="1:7" ht="18">
      <c r="A27" s="359" t="s">
        <v>62</v>
      </c>
      <c r="B27" s="360" t="s">
        <v>63</v>
      </c>
      <c r="C27" s="179">
        <v>16700</v>
      </c>
      <c r="D27" s="239">
        <v>15400</v>
      </c>
      <c r="E27" s="179">
        <f t="shared" si="3"/>
        <v>5000</v>
      </c>
      <c r="F27" s="182">
        <v>20400</v>
      </c>
      <c r="G27" s="182">
        <v>40800</v>
      </c>
    </row>
    <row r="28" spans="1:7" ht="18">
      <c r="A28" s="359" t="s">
        <v>64</v>
      </c>
      <c r="B28" s="360" t="s">
        <v>65</v>
      </c>
      <c r="C28" s="179">
        <v>107450.74</v>
      </c>
      <c r="D28" s="239">
        <v>73830.759999999995</v>
      </c>
      <c r="E28" s="179">
        <f t="shared" si="3"/>
        <v>71197.64</v>
      </c>
      <c r="F28" s="182">
        <v>145028.4</v>
      </c>
      <c r="G28" s="182">
        <v>171666.23</v>
      </c>
    </row>
    <row r="29" spans="1:7" ht="18">
      <c r="A29" s="364" t="s">
        <v>66</v>
      </c>
      <c r="B29" s="365" t="s">
        <v>67</v>
      </c>
      <c r="C29" s="241">
        <v>16700</v>
      </c>
      <c r="D29" s="530">
        <v>8400</v>
      </c>
      <c r="E29" s="241">
        <f t="shared" si="3"/>
        <v>12000</v>
      </c>
      <c r="F29" s="531">
        <v>20400</v>
      </c>
      <c r="G29" s="531">
        <v>20400</v>
      </c>
    </row>
    <row r="30" spans="1:7" ht="18">
      <c r="A30" s="333" t="s">
        <v>68</v>
      </c>
      <c r="B30" s="360"/>
      <c r="C30" s="179"/>
      <c r="D30" s="179"/>
      <c r="E30" s="179"/>
      <c r="F30" s="182"/>
      <c r="G30" s="182"/>
    </row>
    <row r="31" spans="1:7" ht="18.75" thickBot="1">
      <c r="A31" s="359" t="s">
        <v>558</v>
      </c>
      <c r="B31" s="356" t="s">
        <v>520</v>
      </c>
      <c r="C31" s="532">
        <v>0</v>
      </c>
      <c r="D31" s="532">
        <v>0</v>
      </c>
      <c r="E31" s="532"/>
      <c r="F31" s="533"/>
      <c r="G31" s="533">
        <v>275768.63</v>
      </c>
    </row>
    <row r="32" spans="1:7" ht="19.5" thickTop="1" thickBot="1">
      <c r="A32" s="351" t="s">
        <v>71</v>
      </c>
      <c r="B32" s="352"/>
      <c r="C32" s="184">
        <f t="shared" ref="C32:F32" si="4">SUM(C12:C29)</f>
        <v>7936263.7800000012</v>
      </c>
      <c r="D32" s="184">
        <f t="shared" si="4"/>
        <v>3982508.5999999996</v>
      </c>
      <c r="E32" s="184">
        <f t="shared" si="4"/>
        <v>5357981.1599999992</v>
      </c>
      <c r="F32" s="184">
        <f t="shared" si="4"/>
        <v>9540489.7599999998</v>
      </c>
      <c r="G32" s="184">
        <f>SUM(G12:G31)</f>
        <v>10567856.740000002</v>
      </c>
    </row>
    <row r="33" spans="1:7" ht="18.75" thickTop="1">
      <c r="A33" s="355" t="s">
        <v>72</v>
      </c>
      <c r="B33" s="356"/>
      <c r="C33" s="325"/>
      <c r="D33" s="325"/>
      <c r="E33" s="325"/>
      <c r="F33" s="380"/>
      <c r="G33" s="327"/>
    </row>
    <row r="34" spans="1:7" ht="18">
      <c r="A34" s="534" t="s">
        <v>75</v>
      </c>
      <c r="B34" s="360" t="s">
        <v>76</v>
      </c>
      <c r="C34" s="535">
        <v>0</v>
      </c>
      <c r="D34" s="264">
        <v>0</v>
      </c>
      <c r="E34" s="264">
        <f t="shared" ref="E34:E42" si="5">F34-D34</f>
        <v>525000</v>
      </c>
      <c r="F34" s="536">
        <v>525000</v>
      </c>
      <c r="G34" s="536">
        <v>460720</v>
      </c>
    </row>
    <row r="35" spans="1:7" ht="18">
      <c r="A35" s="359" t="s">
        <v>77</v>
      </c>
      <c r="B35" s="360" t="s">
        <v>78</v>
      </c>
      <c r="C35" s="264">
        <v>41326.5</v>
      </c>
      <c r="D35" s="264">
        <v>69687.5</v>
      </c>
      <c r="E35" s="264">
        <f t="shared" si="5"/>
        <v>130312.5</v>
      </c>
      <c r="F35" s="210">
        <v>200000</v>
      </c>
      <c r="G35" s="210">
        <v>500000</v>
      </c>
    </row>
    <row r="36" spans="1:7" ht="18">
      <c r="A36" s="359" t="s">
        <v>79</v>
      </c>
      <c r="B36" s="360" t="s">
        <v>80</v>
      </c>
      <c r="C36" s="264">
        <v>213268.91</v>
      </c>
      <c r="D36" s="264">
        <v>79204.479999999996</v>
      </c>
      <c r="E36" s="264">
        <f t="shared" si="5"/>
        <v>70795.520000000004</v>
      </c>
      <c r="F36" s="210">
        <v>150000</v>
      </c>
      <c r="G36" s="210">
        <v>350000</v>
      </c>
    </row>
    <row r="37" spans="1:7" ht="18">
      <c r="A37" s="359" t="s">
        <v>81</v>
      </c>
      <c r="B37" s="360" t="s">
        <v>82</v>
      </c>
      <c r="C37" s="264">
        <v>54876</v>
      </c>
      <c r="D37" s="537">
        <v>0</v>
      </c>
      <c r="E37" s="264">
        <f t="shared" si="5"/>
        <v>100000</v>
      </c>
      <c r="F37" s="210">
        <v>100000</v>
      </c>
      <c r="G37" s="210">
        <v>200000</v>
      </c>
    </row>
    <row r="38" spans="1:7" ht="18">
      <c r="A38" s="359" t="s">
        <v>83</v>
      </c>
      <c r="B38" s="360" t="s">
        <v>84</v>
      </c>
      <c r="C38" s="264">
        <v>10296.56</v>
      </c>
      <c r="D38" s="264">
        <v>38994</v>
      </c>
      <c r="E38" s="264">
        <f t="shared" si="5"/>
        <v>41006</v>
      </c>
      <c r="F38" s="210">
        <v>80000</v>
      </c>
      <c r="G38" s="210">
        <v>80000</v>
      </c>
    </row>
    <row r="39" spans="1:7" ht="18">
      <c r="A39" s="359" t="s">
        <v>239</v>
      </c>
      <c r="B39" s="360" t="s">
        <v>94</v>
      </c>
      <c r="C39" s="264">
        <v>7384002.0599999996</v>
      </c>
      <c r="D39" s="537">
        <v>4140955.76</v>
      </c>
      <c r="E39" s="264">
        <f t="shared" si="5"/>
        <v>5199364.24</v>
      </c>
      <c r="F39" s="210">
        <v>9340320</v>
      </c>
      <c r="G39" s="210">
        <v>8684280</v>
      </c>
    </row>
    <row r="40" spans="1:7" ht="18">
      <c r="A40" s="359" t="s">
        <v>199</v>
      </c>
      <c r="B40" s="360" t="s">
        <v>200</v>
      </c>
      <c r="C40" s="264">
        <v>4640940</v>
      </c>
      <c r="D40" s="537">
        <v>2221010</v>
      </c>
      <c r="E40" s="264">
        <f t="shared" si="5"/>
        <v>2932270</v>
      </c>
      <c r="F40" s="210">
        <v>5153280</v>
      </c>
      <c r="G40" s="210">
        <v>0</v>
      </c>
    </row>
    <row r="41" spans="1:7" ht="36">
      <c r="A41" s="538" t="s">
        <v>240</v>
      </c>
      <c r="B41" s="360" t="s">
        <v>241</v>
      </c>
      <c r="C41" s="264">
        <v>0</v>
      </c>
      <c r="D41" s="264">
        <v>0</v>
      </c>
      <c r="E41" s="264">
        <f t="shared" si="5"/>
        <v>50000</v>
      </c>
      <c r="F41" s="210">
        <v>50000</v>
      </c>
      <c r="G41" s="210">
        <v>0</v>
      </c>
    </row>
    <row r="42" spans="1:7" ht="36">
      <c r="A42" s="538" t="s">
        <v>242</v>
      </c>
      <c r="B42" s="360" t="s">
        <v>243</v>
      </c>
      <c r="C42" s="264">
        <v>0</v>
      </c>
      <c r="D42" s="264">
        <v>0</v>
      </c>
      <c r="E42" s="264">
        <f t="shared" si="5"/>
        <v>150000</v>
      </c>
      <c r="F42" s="210">
        <v>150000</v>
      </c>
      <c r="G42" s="210">
        <v>0</v>
      </c>
    </row>
    <row r="43" spans="1:7" ht="18">
      <c r="A43" s="359" t="s">
        <v>108</v>
      </c>
      <c r="B43" s="360" t="s">
        <v>109</v>
      </c>
      <c r="C43" s="264"/>
      <c r="D43" s="264">
        <v>0</v>
      </c>
      <c r="E43" s="264"/>
      <c r="F43" s="210"/>
      <c r="G43" s="210"/>
    </row>
    <row r="44" spans="1:7" ht="54">
      <c r="A44" s="539" t="s">
        <v>244</v>
      </c>
      <c r="B44" s="360"/>
      <c r="C44" s="264">
        <v>3500000</v>
      </c>
      <c r="D44" s="537">
        <v>653500</v>
      </c>
      <c r="E44" s="264">
        <f t="shared" ref="E44:E49" si="6">F44-D44</f>
        <v>2846500</v>
      </c>
      <c r="F44" s="210">
        <v>3500000</v>
      </c>
      <c r="G44" s="210">
        <v>3500000</v>
      </c>
    </row>
    <row r="45" spans="1:7" ht="53.45" customHeight="1">
      <c r="A45" s="539" t="s">
        <v>245</v>
      </c>
      <c r="B45" s="540"/>
      <c r="C45" s="264">
        <v>3071945.25</v>
      </c>
      <c r="D45" s="537">
        <v>648749</v>
      </c>
      <c r="E45" s="264">
        <f t="shared" si="6"/>
        <v>851251</v>
      </c>
      <c r="F45" s="210">
        <v>1500000</v>
      </c>
      <c r="G45" s="210">
        <v>700000</v>
      </c>
    </row>
    <row r="46" spans="1:7" ht="72">
      <c r="A46" s="539" t="s">
        <v>246</v>
      </c>
      <c r="B46" s="540"/>
      <c r="C46" s="264">
        <v>4233974.95</v>
      </c>
      <c r="D46" s="537">
        <v>0</v>
      </c>
      <c r="E46" s="264">
        <f t="shared" si="6"/>
        <v>1500000</v>
      </c>
      <c r="F46" s="210">
        <v>1500000</v>
      </c>
      <c r="G46" s="210">
        <v>500000</v>
      </c>
    </row>
    <row r="47" spans="1:7" ht="72">
      <c r="A47" s="539" t="s">
        <v>247</v>
      </c>
      <c r="B47" s="540"/>
      <c r="C47" s="264"/>
      <c r="D47" s="537">
        <v>0</v>
      </c>
      <c r="E47" s="264">
        <f t="shared" si="6"/>
        <v>2751400</v>
      </c>
      <c r="F47" s="210">
        <v>2751400</v>
      </c>
      <c r="G47" s="210">
        <v>800000</v>
      </c>
    </row>
    <row r="48" spans="1:7" ht="18">
      <c r="A48" s="539" t="s">
        <v>248</v>
      </c>
      <c r="B48" s="540"/>
      <c r="C48" s="264"/>
      <c r="D48" s="537">
        <v>23008.75</v>
      </c>
      <c r="E48" s="264">
        <f t="shared" si="6"/>
        <v>976991.25</v>
      </c>
      <c r="F48" s="210">
        <v>1000000</v>
      </c>
      <c r="G48" s="210">
        <v>800000</v>
      </c>
    </row>
    <row r="49" spans="1:11" ht="18.75" thickBot="1">
      <c r="A49" s="541" t="s">
        <v>249</v>
      </c>
      <c r="B49" s="330"/>
      <c r="C49" s="264"/>
      <c r="D49" s="542">
        <v>1000000</v>
      </c>
      <c r="E49" s="264">
        <f t="shared" si="6"/>
        <v>1000000</v>
      </c>
      <c r="F49" s="210">
        <v>2000000</v>
      </c>
      <c r="G49" s="210">
        <v>1625000</v>
      </c>
    </row>
    <row r="50" spans="1:11" ht="19.5" thickTop="1" thickBot="1">
      <c r="A50" s="351" t="s">
        <v>162</v>
      </c>
      <c r="B50" s="367"/>
      <c r="C50" s="543">
        <f>SUM(C34:C49)</f>
        <v>23150630.23</v>
      </c>
      <c r="D50" s="543">
        <f>SUM(D34:D49)</f>
        <v>8875109.4900000002</v>
      </c>
      <c r="E50" s="543">
        <f>SUM(E34:E49)</f>
        <v>19124890.509999998</v>
      </c>
      <c r="F50" s="543">
        <f>SUM(F34:F49)</f>
        <v>28000000</v>
      </c>
      <c r="G50" s="543">
        <f>SUM(G34:G49)</f>
        <v>18200000</v>
      </c>
      <c r="K50" s="544"/>
    </row>
    <row r="51" spans="1:11" ht="19.5" thickTop="1" thickBot="1">
      <c r="A51" s="534"/>
      <c r="B51" s="391"/>
      <c r="C51" s="264"/>
      <c r="D51" s="264"/>
      <c r="E51" s="264"/>
      <c r="F51" s="210"/>
      <c r="G51" s="210"/>
    </row>
    <row r="52" spans="1:11" ht="19.5" thickTop="1" thickBot="1">
      <c r="A52" s="351" t="s">
        <v>181</v>
      </c>
      <c r="B52" s="367"/>
      <c r="C52" s="543">
        <f>C32+C50</f>
        <v>31086894.010000002</v>
      </c>
      <c r="D52" s="543">
        <f>D32+D50</f>
        <v>12857618.09</v>
      </c>
      <c r="E52" s="543">
        <f>E32+E50</f>
        <v>24482871.669999998</v>
      </c>
      <c r="F52" s="543">
        <f>F32+F50</f>
        <v>37540489.759999998</v>
      </c>
      <c r="G52" s="543">
        <f>G32+G50</f>
        <v>28767856.740000002</v>
      </c>
    </row>
    <row r="53" spans="1:11" ht="18.75" thickTop="1">
      <c r="A53" s="317"/>
      <c r="B53" s="317"/>
      <c r="C53" s="317"/>
      <c r="D53" s="317"/>
      <c r="E53" s="317"/>
      <c r="F53" s="317"/>
      <c r="G53" s="317"/>
    </row>
    <row r="54" spans="1:11" ht="18">
      <c r="A54" s="317" t="s">
        <v>183</v>
      </c>
      <c r="B54" s="317" t="s">
        <v>184</v>
      </c>
      <c r="C54" s="317"/>
      <c r="D54" s="317"/>
      <c r="E54" s="317"/>
      <c r="F54" s="317" t="s">
        <v>185</v>
      </c>
      <c r="G54" s="317"/>
    </row>
    <row r="55" spans="1:11" ht="18">
      <c r="A55" s="317"/>
      <c r="B55" s="317"/>
      <c r="C55" s="317"/>
      <c r="D55" s="317"/>
      <c r="E55" s="317"/>
      <c r="F55" s="317"/>
      <c r="G55" s="317"/>
    </row>
    <row r="56" spans="1:11" ht="18">
      <c r="A56" s="317"/>
      <c r="B56" s="317"/>
      <c r="C56" s="317"/>
      <c r="D56" s="317"/>
      <c r="E56" s="317"/>
      <c r="F56" s="317"/>
      <c r="G56" s="317"/>
    </row>
    <row r="57" spans="1:11" ht="18">
      <c r="A57" s="317"/>
      <c r="B57" s="317"/>
      <c r="C57" s="317"/>
      <c r="D57" s="317"/>
      <c r="E57" s="317"/>
      <c r="F57" s="317"/>
      <c r="G57" s="317"/>
    </row>
    <row r="58" spans="1:11" ht="18">
      <c r="A58" s="309" t="s">
        <v>669</v>
      </c>
      <c r="B58" s="1239" t="s">
        <v>187</v>
      </c>
      <c r="C58" s="1236"/>
      <c r="D58" s="1236"/>
      <c r="E58" s="369"/>
      <c r="F58" s="1264" t="s">
        <v>188</v>
      </c>
      <c r="G58" s="1241"/>
    </row>
    <row r="59" spans="1:11" ht="18">
      <c r="A59" s="371" t="s">
        <v>252</v>
      </c>
      <c r="B59" s="1235" t="s">
        <v>190</v>
      </c>
      <c r="C59" s="1236"/>
      <c r="D59" s="1236"/>
      <c r="E59" s="372"/>
      <c r="F59" s="1265" t="s">
        <v>191</v>
      </c>
      <c r="G59" s="1241"/>
    </row>
    <row r="60" spans="1:11" ht="18">
      <c r="A60" s="317"/>
      <c r="B60" s="317"/>
      <c r="C60" s="317"/>
      <c r="D60" s="317"/>
      <c r="E60" s="317"/>
      <c r="F60" s="317"/>
      <c r="G60" s="317"/>
    </row>
    <row r="62" spans="1:11" ht="16.5">
      <c r="A62" s="1238" t="s">
        <v>194</v>
      </c>
      <c r="B62" s="1238"/>
      <c r="C62" s="1238"/>
      <c r="D62" s="1238"/>
      <c r="E62" s="1238"/>
      <c r="F62" s="1238"/>
      <c r="G62" s="1238"/>
    </row>
    <row r="63" spans="1:11" ht="18">
      <c r="A63" s="545"/>
      <c r="B63" s="545"/>
      <c r="C63" s="545"/>
      <c r="D63" s="545"/>
      <c r="E63" s="545"/>
      <c r="F63" s="318"/>
      <c r="G63" s="318"/>
    </row>
    <row r="64" spans="1:11" ht="18">
      <c r="A64" s="317"/>
      <c r="B64" s="317"/>
      <c r="C64" s="317"/>
      <c r="D64" s="317"/>
      <c r="E64" s="317"/>
      <c r="F64" s="317"/>
      <c r="G64" s="317"/>
    </row>
    <row r="65" spans="1:7" ht="18">
      <c r="A65" s="317"/>
      <c r="B65" s="317"/>
      <c r="C65" s="317"/>
      <c r="D65" s="317"/>
      <c r="E65" s="317"/>
      <c r="F65" s="317"/>
      <c r="G65" s="317"/>
    </row>
    <row r="66" spans="1:7" ht="18">
      <c r="A66" s="317"/>
      <c r="B66" s="317"/>
      <c r="C66" s="317"/>
      <c r="D66" s="317"/>
      <c r="E66" s="317"/>
      <c r="F66" s="317"/>
      <c r="G66" s="317"/>
    </row>
    <row r="67" spans="1:7" ht="18">
      <c r="A67" s="317"/>
      <c r="B67" s="317"/>
      <c r="C67" s="317"/>
      <c r="D67" s="317"/>
      <c r="E67" s="317"/>
      <c r="F67" s="317"/>
      <c r="G67" s="317"/>
    </row>
    <row r="68" spans="1:7" ht="18">
      <c r="A68" s="317"/>
      <c r="B68" s="317"/>
      <c r="C68" s="317"/>
      <c r="D68" s="317"/>
      <c r="E68" s="317"/>
      <c r="F68" s="317"/>
      <c r="G68" s="317"/>
    </row>
    <row r="69" spans="1:7" ht="18">
      <c r="A69" s="317"/>
      <c r="B69" s="317"/>
      <c r="C69" s="317"/>
      <c r="D69" s="317"/>
      <c r="E69" s="317"/>
      <c r="F69" s="317"/>
      <c r="G69" s="317"/>
    </row>
    <row r="70" spans="1:7" ht="18">
      <c r="A70" s="317"/>
      <c r="B70" s="317"/>
      <c r="C70" s="317"/>
      <c r="D70" s="317"/>
      <c r="E70" s="317"/>
      <c r="F70" s="317"/>
      <c r="G70" s="317"/>
    </row>
    <row r="71" spans="1:7" ht="18">
      <c r="A71" s="317"/>
      <c r="B71" s="317"/>
      <c r="C71" s="317"/>
      <c r="D71" s="317"/>
      <c r="E71" s="317"/>
      <c r="F71" s="317"/>
      <c r="G71" s="317"/>
    </row>
    <row r="72" spans="1:7" ht="18">
      <c r="A72" s="317"/>
      <c r="B72" s="317"/>
      <c r="C72" s="317"/>
      <c r="D72" s="317"/>
      <c r="E72" s="317"/>
      <c r="F72" s="317"/>
      <c r="G72" s="317"/>
    </row>
    <row r="73" spans="1:7" ht="18">
      <c r="A73" s="317"/>
      <c r="B73" s="317"/>
      <c r="C73" s="317"/>
      <c r="D73" s="317"/>
      <c r="E73" s="317"/>
      <c r="F73" s="317"/>
      <c r="G73" s="317"/>
    </row>
    <row r="74" spans="1:7" ht="18">
      <c r="A74" s="317"/>
      <c r="B74" s="317"/>
      <c r="C74" s="317"/>
      <c r="D74" s="317"/>
      <c r="E74" s="317"/>
      <c r="F74" s="317"/>
      <c r="G74" s="317"/>
    </row>
    <row r="75" spans="1:7" ht="18">
      <c r="A75" s="317"/>
      <c r="B75" s="317"/>
      <c r="C75" s="317"/>
      <c r="D75" s="317"/>
      <c r="E75" s="317"/>
      <c r="F75" s="317"/>
      <c r="G75" s="317"/>
    </row>
    <row r="76" spans="1:7" ht="18">
      <c r="A76" s="317"/>
      <c r="B76" s="317"/>
      <c r="C76" s="317"/>
      <c r="D76" s="317"/>
      <c r="E76" s="317"/>
      <c r="F76" s="317"/>
      <c r="G76" s="317"/>
    </row>
    <row r="77" spans="1:7" ht="18">
      <c r="A77" s="317"/>
      <c r="B77" s="317"/>
      <c r="C77" s="317"/>
      <c r="D77" s="317"/>
      <c r="E77" s="317"/>
      <c r="F77" s="317"/>
      <c r="G77" s="317"/>
    </row>
    <row r="78" spans="1:7" ht="18">
      <c r="A78" s="317"/>
      <c r="B78" s="317"/>
      <c r="C78" s="317"/>
      <c r="D78" s="317"/>
      <c r="E78" s="317"/>
      <c r="F78" s="317"/>
      <c r="G78" s="317"/>
    </row>
    <row r="79" spans="1:7" ht="18">
      <c r="A79" s="317"/>
      <c r="B79" s="317"/>
      <c r="C79" s="317"/>
      <c r="D79" s="317"/>
      <c r="E79" s="317"/>
      <c r="F79" s="317"/>
      <c r="G79" s="317"/>
    </row>
    <row r="80" spans="1:7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 ht="18">
      <c r="A239" s="317"/>
      <c r="B239" s="317"/>
      <c r="C239" s="317"/>
      <c r="D239" s="317"/>
      <c r="E239" s="317"/>
      <c r="F239" s="317"/>
      <c r="G239" s="317"/>
    </row>
    <row r="240" spans="1:7" ht="18">
      <c r="A240" s="317"/>
      <c r="B240" s="317"/>
      <c r="C240" s="317"/>
      <c r="D240" s="317"/>
      <c r="E240" s="317"/>
      <c r="F240" s="317"/>
      <c r="G240" s="317"/>
    </row>
    <row r="241" spans="1:7" ht="18">
      <c r="A241" s="317"/>
      <c r="B241" s="317"/>
      <c r="C241" s="317"/>
      <c r="D241" s="317"/>
      <c r="E241" s="317"/>
      <c r="F241" s="317"/>
      <c r="G241" s="317"/>
    </row>
    <row r="242" spans="1:7" ht="18">
      <c r="A242" s="317"/>
      <c r="B242" s="317"/>
      <c r="C242" s="317"/>
      <c r="D242" s="317"/>
      <c r="E242" s="317"/>
      <c r="F242" s="317"/>
      <c r="G242" s="317"/>
    </row>
    <row r="243" spans="1:7" ht="18">
      <c r="A243" s="317"/>
      <c r="B243" s="317"/>
      <c r="C243" s="317"/>
      <c r="D243" s="317"/>
      <c r="E243" s="317"/>
      <c r="F243" s="317"/>
      <c r="G243" s="317"/>
    </row>
    <row r="244" spans="1:7" ht="18">
      <c r="A244" s="317"/>
      <c r="B244" s="317"/>
      <c r="C244" s="317"/>
      <c r="D244" s="317"/>
      <c r="E244" s="317"/>
      <c r="F244" s="317"/>
      <c r="G244" s="317"/>
    </row>
    <row r="245" spans="1:7" ht="18">
      <c r="A245" s="317"/>
      <c r="B245" s="317"/>
      <c r="C245" s="317"/>
      <c r="D245" s="317"/>
      <c r="E245" s="317"/>
      <c r="F245" s="317"/>
      <c r="G245" s="317"/>
    </row>
    <row r="246" spans="1:7" ht="18">
      <c r="A246" s="317"/>
      <c r="B246" s="317"/>
      <c r="C246" s="317"/>
      <c r="D246" s="317"/>
      <c r="E246" s="317"/>
      <c r="F246" s="317"/>
      <c r="G246" s="317"/>
    </row>
    <row r="247" spans="1:7" ht="18">
      <c r="A247" s="317"/>
      <c r="B247" s="317"/>
      <c r="C247" s="317"/>
      <c r="D247" s="317"/>
      <c r="E247" s="317"/>
      <c r="F247" s="317"/>
      <c r="G247" s="317"/>
    </row>
    <row r="248" spans="1:7" ht="18">
      <c r="A248" s="317"/>
      <c r="B248" s="317"/>
      <c r="C248" s="317"/>
      <c r="D248" s="317"/>
      <c r="E248" s="317"/>
      <c r="F248" s="317"/>
      <c r="G248" s="317"/>
    </row>
    <row r="249" spans="1:7" ht="18">
      <c r="A249" s="317"/>
      <c r="B249" s="317"/>
      <c r="C249" s="317"/>
      <c r="D249" s="317"/>
      <c r="E249" s="317"/>
      <c r="F249" s="317"/>
      <c r="G249" s="317"/>
    </row>
    <row r="250" spans="1:7" ht="18">
      <c r="A250" s="317"/>
      <c r="B250" s="317"/>
      <c r="C250" s="317"/>
      <c r="D250" s="317"/>
      <c r="E250" s="317"/>
      <c r="F250" s="317"/>
      <c r="G250" s="317"/>
    </row>
    <row r="251" spans="1:7" ht="18">
      <c r="A251" s="317"/>
      <c r="B251" s="317"/>
      <c r="C251" s="317"/>
      <c r="D251" s="317"/>
      <c r="E251" s="317"/>
      <c r="F251" s="317"/>
      <c r="G251" s="317"/>
    </row>
    <row r="252" spans="1:7" ht="18">
      <c r="A252" s="317"/>
      <c r="B252" s="317"/>
      <c r="C252" s="317"/>
      <c r="D252" s="317"/>
      <c r="E252" s="317"/>
      <c r="F252" s="317"/>
      <c r="G252" s="317"/>
    </row>
    <row r="253" spans="1:7" ht="18">
      <c r="A253" s="317"/>
      <c r="B253" s="317"/>
      <c r="C253" s="317"/>
      <c r="D253" s="317"/>
      <c r="E253" s="317"/>
      <c r="F253" s="317"/>
      <c r="G253" s="317"/>
    </row>
    <row r="254" spans="1:7" ht="18">
      <c r="A254" s="317"/>
      <c r="B254" s="317"/>
      <c r="C254" s="317"/>
      <c r="D254" s="317"/>
      <c r="E254" s="317"/>
      <c r="F254" s="317"/>
      <c r="G254" s="317"/>
    </row>
    <row r="255" spans="1:7" ht="18">
      <c r="A255" s="317"/>
      <c r="B255" s="317"/>
      <c r="C255" s="317"/>
      <c r="D255" s="317"/>
      <c r="E255" s="317"/>
      <c r="F255" s="317"/>
      <c r="G255" s="317"/>
    </row>
    <row r="256" spans="1:7" ht="18">
      <c r="A256" s="317"/>
      <c r="B256" s="317"/>
      <c r="C256" s="317"/>
      <c r="D256" s="317"/>
      <c r="E256" s="317"/>
      <c r="F256" s="317"/>
      <c r="G256" s="317"/>
    </row>
    <row r="257" spans="1:7" ht="18">
      <c r="A257" s="317"/>
      <c r="B257" s="317"/>
      <c r="C257" s="317"/>
      <c r="D257" s="317"/>
      <c r="E257" s="317"/>
      <c r="F257" s="317"/>
      <c r="G257" s="317"/>
    </row>
    <row r="258" spans="1:7" ht="18">
      <c r="A258" s="317"/>
      <c r="B258" s="317"/>
      <c r="C258" s="317"/>
      <c r="D258" s="317"/>
      <c r="E258" s="317"/>
      <c r="F258" s="317"/>
      <c r="G258" s="317"/>
    </row>
    <row r="259" spans="1:7" ht="18">
      <c r="A259" s="317"/>
      <c r="B259" s="317"/>
      <c r="C259" s="317"/>
      <c r="D259" s="317"/>
      <c r="E259" s="317"/>
      <c r="F259" s="317"/>
      <c r="G259" s="317"/>
    </row>
    <row r="260" spans="1:7" ht="18">
      <c r="A260" s="317"/>
      <c r="B260" s="317"/>
      <c r="C260" s="317"/>
      <c r="D260" s="317"/>
      <c r="E260" s="317"/>
      <c r="F260" s="317"/>
      <c r="G260" s="317"/>
    </row>
    <row r="261" spans="1:7" ht="18">
      <c r="A261" s="317"/>
      <c r="B261" s="317"/>
      <c r="C261" s="317"/>
      <c r="D261" s="317"/>
      <c r="E261" s="317"/>
      <c r="F261" s="317"/>
      <c r="G261" s="317"/>
    </row>
    <row r="262" spans="1:7" ht="18">
      <c r="A262" s="317"/>
      <c r="B262" s="317"/>
      <c r="C262" s="317"/>
      <c r="D262" s="317"/>
      <c r="E262" s="317"/>
      <c r="F262" s="317"/>
      <c r="G262" s="317"/>
    </row>
    <row r="263" spans="1:7" ht="18">
      <c r="A263" s="317"/>
      <c r="B263" s="317"/>
      <c r="C263" s="317"/>
      <c r="D263" s="317"/>
      <c r="E263" s="317"/>
      <c r="F263" s="317"/>
      <c r="G263" s="31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  <row r="981" spans="1:7">
      <c r="A981" s="377"/>
      <c r="B981" s="377"/>
      <c r="C981" s="377"/>
      <c r="D981" s="377"/>
      <c r="E981" s="377"/>
      <c r="F981" s="377"/>
      <c r="G981" s="377"/>
    </row>
    <row r="982" spans="1:7">
      <c r="A982" s="377"/>
      <c r="B982" s="377"/>
      <c r="C982" s="377"/>
      <c r="D982" s="377"/>
      <c r="E982" s="377"/>
      <c r="F982" s="377"/>
      <c r="G982" s="377"/>
    </row>
    <row r="983" spans="1:7">
      <c r="A983" s="377"/>
      <c r="B983" s="377"/>
      <c r="C983" s="377"/>
      <c r="D983" s="377"/>
      <c r="E983" s="377"/>
      <c r="F983" s="377"/>
      <c r="G983" s="377"/>
    </row>
    <row r="984" spans="1:7">
      <c r="A984" s="377"/>
      <c r="B984" s="377"/>
      <c r="C984" s="377"/>
      <c r="D984" s="377"/>
      <c r="E984" s="377"/>
      <c r="F984" s="377"/>
      <c r="G984" s="377"/>
    </row>
    <row r="985" spans="1:7">
      <c r="A985" s="377"/>
      <c r="B985" s="377"/>
      <c r="C985" s="377"/>
      <c r="D985" s="377"/>
      <c r="E985" s="377"/>
      <c r="F985" s="377"/>
      <c r="G985" s="377"/>
    </row>
    <row r="986" spans="1:7">
      <c r="A986" s="377"/>
      <c r="B986" s="377"/>
      <c r="C986" s="377"/>
      <c r="D986" s="377"/>
      <c r="E986" s="377"/>
      <c r="F986" s="377"/>
      <c r="G986" s="377"/>
    </row>
    <row r="987" spans="1:7">
      <c r="A987" s="377"/>
      <c r="B987" s="377"/>
      <c r="C987" s="377"/>
      <c r="D987" s="377"/>
      <c r="E987" s="377"/>
      <c r="F987" s="377"/>
      <c r="G987" s="377"/>
    </row>
    <row r="988" spans="1:7">
      <c r="A988" s="377"/>
      <c r="B988" s="377"/>
      <c r="C988" s="377"/>
      <c r="D988" s="377"/>
      <c r="E988" s="377"/>
      <c r="F988" s="377"/>
      <c r="G988" s="377"/>
    </row>
    <row r="989" spans="1:7">
      <c r="A989" s="377"/>
      <c r="B989" s="377"/>
      <c r="C989" s="377"/>
      <c r="D989" s="377"/>
      <c r="E989" s="377"/>
      <c r="F989" s="377"/>
      <c r="G989" s="377"/>
    </row>
    <row r="990" spans="1:7">
      <c r="A990" s="377"/>
      <c r="B990" s="377"/>
      <c r="C990" s="377"/>
      <c r="D990" s="377"/>
      <c r="E990" s="377"/>
      <c r="F990" s="377"/>
      <c r="G990" s="377"/>
    </row>
    <row r="991" spans="1:7">
      <c r="A991" s="377"/>
      <c r="B991" s="377"/>
      <c r="C991" s="377"/>
      <c r="D991" s="377"/>
      <c r="E991" s="377"/>
      <c r="F991" s="377"/>
      <c r="G991" s="377"/>
    </row>
    <row r="992" spans="1:7">
      <c r="A992" s="377"/>
      <c r="B992" s="377"/>
      <c r="C992" s="377"/>
      <c r="D992" s="377"/>
      <c r="E992" s="377"/>
      <c r="F992" s="377"/>
      <c r="G992" s="377"/>
    </row>
    <row r="993" spans="1:7">
      <c r="A993" s="377"/>
      <c r="B993" s="377"/>
      <c r="C993" s="377"/>
      <c r="D993" s="377"/>
      <c r="E993" s="377"/>
      <c r="F993" s="377"/>
      <c r="G993" s="377"/>
    </row>
    <row r="994" spans="1:7">
      <c r="A994" s="377"/>
      <c r="B994" s="377"/>
      <c r="C994" s="377"/>
      <c r="D994" s="377"/>
      <c r="E994" s="377"/>
      <c r="F994" s="377"/>
      <c r="G994" s="377"/>
    </row>
    <row r="995" spans="1:7">
      <c r="A995" s="377"/>
      <c r="B995" s="377"/>
      <c r="C995" s="377"/>
      <c r="D995" s="377"/>
      <c r="E995" s="377"/>
      <c r="F995" s="377"/>
      <c r="G995" s="377"/>
    </row>
    <row r="996" spans="1:7">
      <c r="A996" s="377"/>
      <c r="B996" s="377"/>
      <c r="C996" s="377"/>
      <c r="D996" s="377"/>
      <c r="E996" s="377"/>
      <c r="F996" s="377"/>
      <c r="G996" s="377"/>
    </row>
    <row r="997" spans="1:7">
      <c r="A997" s="377"/>
      <c r="B997" s="377"/>
      <c r="C997" s="377"/>
      <c r="D997" s="377"/>
      <c r="E997" s="377"/>
      <c r="F997" s="377"/>
      <c r="G997" s="377"/>
    </row>
    <row r="998" spans="1:7">
      <c r="A998" s="377"/>
      <c r="B998" s="377"/>
      <c r="C998" s="377"/>
      <c r="D998" s="377"/>
      <c r="E998" s="377"/>
      <c r="F998" s="377"/>
      <c r="G998" s="377"/>
    </row>
    <row r="999" spans="1:7">
      <c r="A999" s="377"/>
      <c r="B999" s="377"/>
      <c r="C999" s="377"/>
      <c r="D999" s="377"/>
      <c r="E999" s="377"/>
      <c r="F999" s="377"/>
      <c r="G999" s="377"/>
    </row>
    <row r="1000" spans="1:7">
      <c r="A1000" s="377"/>
      <c r="B1000" s="377"/>
      <c r="C1000" s="377"/>
      <c r="D1000" s="377"/>
      <c r="E1000" s="377"/>
      <c r="F1000" s="377"/>
      <c r="G1000" s="377"/>
    </row>
    <row r="1001" spans="1:7">
      <c r="A1001" s="377"/>
      <c r="B1001" s="377"/>
      <c r="C1001" s="377"/>
      <c r="D1001" s="377"/>
      <c r="E1001" s="377"/>
      <c r="F1001" s="377"/>
      <c r="G1001" s="377"/>
    </row>
    <row r="1002" spans="1:7">
      <c r="A1002" s="377"/>
      <c r="B1002" s="377"/>
      <c r="C1002" s="377"/>
      <c r="D1002" s="377"/>
      <c r="E1002" s="377"/>
      <c r="F1002" s="377"/>
      <c r="G1002" s="377"/>
    </row>
    <row r="1003" spans="1:7">
      <c r="A1003" s="377"/>
      <c r="B1003" s="377"/>
      <c r="C1003" s="377"/>
      <c r="D1003" s="377"/>
      <c r="E1003" s="377"/>
      <c r="F1003" s="377"/>
      <c r="G1003" s="377"/>
    </row>
  </sheetData>
  <sheetProtection algorithmName="SHA-512" hashValue="cL5DcERjG0Qa/tYOMv3OMtOi3wDNuzbcK97sRc3mFSgZI0sUA9QsVg/C29hCSTuEXxdcEnRSHGk9EVc1zvviSw==" saltValue="gb3BRdugfxgQfZLFQ63N6g==" spinCount="100000" sheet="1" objects="1" scenarios="1"/>
  <mergeCells count="13">
    <mergeCell ref="B58:D58"/>
    <mergeCell ref="F58:G58"/>
    <mergeCell ref="B59:D59"/>
    <mergeCell ref="F59:G59"/>
    <mergeCell ref="A62:G62"/>
    <mergeCell ref="A2:G2"/>
    <mergeCell ref="A3:G3"/>
    <mergeCell ref="A5:A7"/>
    <mergeCell ref="B5:B7"/>
    <mergeCell ref="C5:C7"/>
    <mergeCell ref="D5:F5"/>
    <mergeCell ref="G5:G7"/>
    <mergeCell ref="F6:F7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327EB-F629-4AA1-9827-A2A6DBE4443E}">
  <dimension ref="A1:Z980"/>
  <sheetViews>
    <sheetView topLeftCell="A31" workbookViewId="0">
      <selection activeCell="A98" sqref="A98:G98"/>
    </sheetView>
  </sheetViews>
  <sheetFormatPr defaultColWidth="8.85546875" defaultRowHeight="15"/>
  <cols>
    <col min="1" max="1" width="50.140625" style="314" customWidth="1"/>
    <col min="2" max="2" width="15.140625" style="314" customWidth="1"/>
    <col min="3" max="7" width="16.5703125" style="314" customWidth="1"/>
    <col min="8" max="8" width="8.85546875" style="314"/>
    <col min="9" max="9" width="11.28515625" style="314" bestFit="1" customWidth="1"/>
    <col min="10" max="11" width="8.85546875" style="314"/>
    <col min="12" max="12" width="10.42578125" style="314" bestFit="1" customWidth="1"/>
    <col min="13" max="16384" width="8.85546875" style="314"/>
  </cols>
  <sheetData>
    <row r="1" spans="1:26" ht="16.5" customHeight="1">
      <c r="A1" s="311" t="s">
        <v>13</v>
      </c>
      <c r="B1" s="312"/>
      <c r="C1" s="313"/>
      <c r="D1" s="313"/>
      <c r="E1" s="313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</row>
    <row r="2" spans="1:26" ht="18.75" customHeight="1">
      <c r="A2" s="1225" t="s">
        <v>0</v>
      </c>
      <c r="B2" s="1241"/>
      <c r="C2" s="1241"/>
      <c r="D2" s="1241"/>
      <c r="E2" s="1241"/>
      <c r="F2" s="1241"/>
      <c r="G2" s="1241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376"/>
    </row>
    <row r="3" spans="1:26" ht="13.5" customHeight="1">
      <c r="A3" s="1227" t="s">
        <v>14</v>
      </c>
      <c r="B3" s="1241"/>
      <c r="C3" s="1241"/>
      <c r="D3" s="1241"/>
      <c r="E3" s="1241"/>
      <c r="F3" s="1241"/>
      <c r="G3" s="1241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376"/>
      <c r="Z3" s="376"/>
    </row>
    <row r="4" spans="1:26" ht="9.75" customHeight="1">
      <c r="A4" s="315"/>
      <c r="B4" s="315"/>
      <c r="C4" s="316"/>
      <c r="D4" s="316"/>
      <c r="E4" s="316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</row>
    <row r="5" spans="1:26" ht="18.75" customHeight="1" thickBot="1">
      <c r="A5" s="315" t="s">
        <v>670</v>
      </c>
      <c r="B5" s="315"/>
      <c r="C5" s="315"/>
      <c r="D5" s="396"/>
      <c r="E5" s="315"/>
      <c r="F5" s="315"/>
      <c r="G5" s="315"/>
      <c r="H5" s="377"/>
      <c r="I5" s="377"/>
      <c r="J5" s="377"/>
      <c r="K5" s="377"/>
      <c r="L5" s="377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</row>
    <row r="6" spans="1:26" ht="27.75" customHeight="1" thickTop="1" thickBot="1">
      <c r="A6" s="1228" t="s">
        <v>16</v>
      </c>
      <c r="B6" s="1228" t="s">
        <v>17</v>
      </c>
      <c r="C6" s="1230" t="s">
        <v>606</v>
      </c>
      <c r="D6" s="1231" t="s">
        <v>574</v>
      </c>
      <c r="E6" s="1242"/>
      <c r="F6" s="1243"/>
      <c r="G6" s="1228" t="s">
        <v>556</v>
      </c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</row>
    <row r="7" spans="1:26" ht="27.75" customHeight="1" thickTop="1">
      <c r="A7" s="1234"/>
      <c r="B7" s="1234"/>
      <c r="C7" s="1234"/>
      <c r="D7" s="320" t="s">
        <v>21</v>
      </c>
      <c r="E7" s="320" t="s">
        <v>22</v>
      </c>
      <c r="F7" s="1228" t="s">
        <v>23</v>
      </c>
      <c r="G7" s="1234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378"/>
      <c r="S7" s="378"/>
      <c r="T7" s="378"/>
      <c r="U7" s="378"/>
      <c r="V7" s="378"/>
      <c r="W7" s="378"/>
      <c r="X7" s="378"/>
      <c r="Y7" s="378"/>
      <c r="Z7" s="378"/>
    </row>
    <row r="8" spans="1:26" ht="27.75" customHeight="1">
      <c r="A8" s="1234"/>
      <c r="B8" s="1234"/>
      <c r="C8" s="1234"/>
      <c r="D8" s="321" t="s">
        <v>24</v>
      </c>
      <c r="E8" s="321" t="s">
        <v>25</v>
      </c>
      <c r="F8" s="1234"/>
      <c r="G8" s="1234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8"/>
      <c r="S8" s="378"/>
      <c r="T8" s="378"/>
      <c r="U8" s="378"/>
      <c r="V8" s="378"/>
      <c r="W8" s="378"/>
      <c r="X8" s="378"/>
      <c r="Y8" s="378"/>
      <c r="Z8" s="378"/>
    </row>
    <row r="9" spans="1:26" ht="18.75" customHeight="1" thickBot="1">
      <c r="A9" s="322" t="s">
        <v>26</v>
      </c>
      <c r="B9" s="322" t="s">
        <v>27</v>
      </c>
      <c r="C9" s="323" t="s">
        <v>28</v>
      </c>
      <c r="D9" s="323" t="s">
        <v>29</v>
      </c>
      <c r="E9" s="323" t="s">
        <v>30</v>
      </c>
      <c r="F9" s="322" t="s">
        <v>31</v>
      </c>
      <c r="G9" s="322" t="s">
        <v>32</v>
      </c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8"/>
      <c r="Z9" s="378"/>
    </row>
    <row r="10" spans="1:26" ht="18" customHeight="1" thickTop="1">
      <c r="A10" s="324" t="s">
        <v>33</v>
      </c>
      <c r="B10" s="325"/>
      <c r="C10" s="325"/>
      <c r="D10" s="326"/>
      <c r="E10" s="326"/>
      <c r="F10" s="326"/>
      <c r="G10" s="380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/>
      <c r="S10" s="377"/>
      <c r="T10" s="377"/>
      <c r="U10" s="377"/>
      <c r="V10" s="377"/>
      <c r="W10" s="377"/>
      <c r="X10" s="377"/>
      <c r="Y10" s="377"/>
      <c r="Z10" s="377"/>
    </row>
    <row r="11" spans="1:26" ht="18" customHeight="1">
      <c r="A11" s="328" t="s">
        <v>34</v>
      </c>
      <c r="B11" s="329"/>
      <c r="C11" s="330"/>
      <c r="D11" s="330"/>
      <c r="E11" s="330"/>
      <c r="F11" s="330"/>
      <c r="G11" s="381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/>
      <c r="S11" s="377"/>
      <c r="T11" s="377"/>
      <c r="U11" s="377"/>
      <c r="V11" s="377"/>
      <c r="W11" s="377"/>
      <c r="X11" s="377"/>
      <c r="Y11" s="377"/>
      <c r="Z11" s="377"/>
    </row>
    <row r="12" spans="1:26" ht="18" customHeight="1">
      <c r="A12" s="340" t="s">
        <v>35</v>
      </c>
      <c r="B12" s="382"/>
      <c r="C12" s="335"/>
      <c r="D12" s="335"/>
      <c r="E12" s="335"/>
      <c r="F12" s="335"/>
      <c r="G12" s="383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  <c r="T12" s="377"/>
      <c r="U12" s="377"/>
      <c r="V12" s="377"/>
      <c r="W12" s="377"/>
      <c r="X12" s="377"/>
      <c r="Y12" s="377"/>
      <c r="Z12" s="377"/>
    </row>
    <row r="13" spans="1:26" ht="18" customHeight="1">
      <c r="A13" s="338" t="s">
        <v>36</v>
      </c>
      <c r="B13" s="339" t="s">
        <v>37</v>
      </c>
      <c r="C13" s="36">
        <v>800610.34</v>
      </c>
      <c r="D13" s="36">
        <v>697866</v>
      </c>
      <c r="E13" s="36">
        <f t="shared" ref="E13:E14" si="0">F13-D13</f>
        <v>2854062</v>
      </c>
      <c r="F13" s="37">
        <v>3551928</v>
      </c>
      <c r="G13" s="37">
        <v>3803232</v>
      </c>
      <c r="H13" s="377"/>
      <c r="I13" s="377"/>
      <c r="J13" s="377"/>
      <c r="K13" s="377"/>
      <c r="L13" s="377"/>
      <c r="M13" s="377"/>
      <c r="N13" s="377"/>
      <c r="O13" s="377"/>
      <c r="P13" s="377"/>
      <c r="Q13" s="377"/>
      <c r="R13" s="377"/>
      <c r="S13" s="377"/>
      <c r="T13" s="377"/>
      <c r="U13" s="377"/>
      <c r="V13" s="377"/>
      <c r="W13" s="377"/>
      <c r="X13" s="377"/>
      <c r="Y13" s="377"/>
      <c r="Z13" s="377"/>
    </row>
    <row r="14" spans="1:26" ht="15.75" customHeight="1">
      <c r="A14" s="338" t="s">
        <v>216</v>
      </c>
      <c r="B14" s="339" t="s">
        <v>39</v>
      </c>
      <c r="C14" s="38">
        <v>156000</v>
      </c>
      <c r="D14" s="36">
        <v>78000</v>
      </c>
      <c r="E14" s="36">
        <f t="shared" si="0"/>
        <v>78000</v>
      </c>
      <c r="F14" s="37">
        <v>156000</v>
      </c>
      <c r="G14" s="37">
        <v>165015</v>
      </c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/>
    </row>
    <row r="15" spans="1:26" ht="18" customHeight="1">
      <c r="A15" s="340" t="s">
        <v>40</v>
      </c>
      <c r="B15" s="339"/>
      <c r="C15" s="36"/>
      <c r="D15" s="36"/>
      <c r="E15" s="36"/>
      <c r="F15" s="37"/>
      <c r="G15" s="3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7"/>
      <c r="U15" s="377"/>
      <c r="V15" s="377"/>
      <c r="W15" s="377"/>
      <c r="X15" s="377"/>
      <c r="Y15" s="377"/>
      <c r="Z15" s="377"/>
    </row>
    <row r="16" spans="1:26" ht="18" customHeight="1">
      <c r="A16" s="338" t="s">
        <v>41</v>
      </c>
      <c r="B16" s="339" t="s">
        <v>42</v>
      </c>
      <c r="C16" s="36">
        <v>90272.29</v>
      </c>
      <c r="D16" s="36">
        <v>60000</v>
      </c>
      <c r="E16" s="36">
        <f t="shared" ref="E16:E17" si="1">F16-D16</f>
        <v>180000</v>
      </c>
      <c r="F16" s="37">
        <v>240000</v>
      </c>
      <c r="G16" s="37">
        <v>240000</v>
      </c>
      <c r="H16" s="377"/>
      <c r="I16" s="377"/>
      <c r="J16" s="377"/>
      <c r="K16" s="377"/>
      <c r="L16" s="377"/>
      <c r="M16" s="377"/>
      <c r="N16" s="377"/>
      <c r="O16" s="377"/>
      <c r="P16" s="377"/>
      <c r="Q16" s="377"/>
      <c r="R16" s="377"/>
      <c r="S16" s="377"/>
      <c r="T16" s="377"/>
      <c r="U16" s="377"/>
      <c r="V16" s="377"/>
      <c r="W16" s="377"/>
      <c r="X16" s="377"/>
      <c r="Y16" s="377"/>
      <c r="Z16" s="377"/>
    </row>
    <row r="17" spans="1:26" ht="18" customHeight="1">
      <c r="A17" s="338" t="s">
        <v>47</v>
      </c>
      <c r="B17" s="339" t="s">
        <v>48</v>
      </c>
      <c r="C17" s="36">
        <v>24000</v>
      </c>
      <c r="D17" s="38">
        <v>30000</v>
      </c>
      <c r="E17" s="36">
        <f t="shared" si="1"/>
        <v>30000</v>
      </c>
      <c r="F17" s="37">
        <v>60000</v>
      </c>
      <c r="G17" s="37">
        <v>70000</v>
      </c>
      <c r="H17" s="377"/>
      <c r="I17" s="377"/>
      <c r="J17" s="377"/>
      <c r="K17" s="377"/>
      <c r="L17" s="377"/>
      <c r="M17" s="377"/>
      <c r="N17" s="377"/>
      <c r="O17" s="377"/>
      <c r="P17" s="377"/>
      <c r="Q17" s="377"/>
      <c r="R17" s="377"/>
      <c r="S17" s="377"/>
      <c r="T17" s="377"/>
      <c r="U17" s="377"/>
      <c r="V17" s="377"/>
      <c r="W17" s="377"/>
      <c r="X17" s="377"/>
      <c r="Y17" s="377"/>
      <c r="Z17" s="377"/>
    </row>
    <row r="18" spans="1:26" ht="15.75" customHeight="1">
      <c r="A18" s="338" t="s">
        <v>49</v>
      </c>
      <c r="B18" s="339" t="s">
        <v>50</v>
      </c>
      <c r="C18" s="38">
        <v>25000</v>
      </c>
      <c r="D18" s="38">
        <v>0</v>
      </c>
      <c r="E18" s="36">
        <v>50000</v>
      </c>
      <c r="F18" s="37">
        <v>50000</v>
      </c>
      <c r="G18" s="37">
        <v>50000</v>
      </c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  <c r="T18" s="312"/>
      <c r="U18" s="312"/>
      <c r="V18" s="312"/>
      <c r="W18" s="312"/>
      <c r="X18" s="312"/>
      <c r="Y18" s="312"/>
      <c r="Z18" s="312"/>
    </row>
    <row r="19" spans="1:26" ht="18" customHeight="1">
      <c r="A19" s="338" t="s">
        <v>53</v>
      </c>
      <c r="B19" s="339" t="s">
        <v>54</v>
      </c>
      <c r="C19" s="36">
        <v>129311</v>
      </c>
      <c r="D19" s="38">
        <v>0</v>
      </c>
      <c r="E19" s="36">
        <f t="shared" ref="E19:E21" si="2">F19-D19</f>
        <v>308994</v>
      </c>
      <c r="F19" s="37">
        <v>308994</v>
      </c>
      <c r="G19" s="37">
        <v>339621</v>
      </c>
      <c r="H19" s="377"/>
      <c r="I19" s="377"/>
      <c r="J19" s="377"/>
      <c r="K19" s="377"/>
      <c r="L19" s="377"/>
      <c r="M19" s="377"/>
      <c r="N19" s="377"/>
      <c r="O19" s="377"/>
      <c r="P19" s="377"/>
      <c r="Q19" s="377"/>
      <c r="R19" s="377"/>
      <c r="S19" s="377"/>
      <c r="T19" s="377"/>
      <c r="U19" s="377"/>
      <c r="V19" s="377"/>
      <c r="W19" s="377"/>
      <c r="X19" s="377"/>
      <c r="Y19" s="377"/>
      <c r="Z19" s="377"/>
    </row>
    <row r="20" spans="1:26" ht="18" customHeight="1">
      <c r="A20" s="338" t="s">
        <v>55</v>
      </c>
      <c r="B20" s="339" t="s">
        <v>56</v>
      </c>
      <c r="C20" s="36">
        <v>25000</v>
      </c>
      <c r="D20" s="38">
        <v>0</v>
      </c>
      <c r="E20" s="36">
        <f t="shared" si="2"/>
        <v>50000</v>
      </c>
      <c r="F20" s="37">
        <v>50000</v>
      </c>
      <c r="G20" s="37">
        <v>50000</v>
      </c>
      <c r="H20" s="377"/>
      <c r="I20" s="377"/>
      <c r="J20" s="377"/>
      <c r="K20" s="377"/>
      <c r="L20" s="377"/>
      <c r="M20" s="377"/>
      <c r="N20" s="377"/>
      <c r="O20" s="377"/>
      <c r="P20" s="377"/>
      <c r="Q20" s="377"/>
      <c r="R20" s="377"/>
      <c r="S20" s="377"/>
      <c r="T20" s="377"/>
      <c r="U20" s="377"/>
      <c r="V20" s="377"/>
      <c r="W20" s="377"/>
      <c r="X20" s="377"/>
      <c r="Y20" s="377"/>
      <c r="Z20" s="377"/>
    </row>
    <row r="21" spans="1:26" ht="18" customHeight="1">
      <c r="A21" s="338" t="s">
        <v>57</v>
      </c>
      <c r="B21" s="339" t="s">
        <v>58</v>
      </c>
      <c r="C21" s="36">
        <v>55586</v>
      </c>
      <c r="D21" s="36">
        <v>129311</v>
      </c>
      <c r="E21" s="36">
        <f t="shared" si="2"/>
        <v>179683</v>
      </c>
      <c r="F21" s="37">
        <v>308994</v>
      </c>
      <c r="G21" s="37">
        <v>324306</v>
      </c>
      <c r="H21" s="377"/>
      <c r="I21" s="377"/>
      <c r="J21" s="377"/>
      <c r="K21" s="377"/>
      <c r="L21" s="377"/>
      <c r="M21" s="377"/>
      <c r="N21" s="377"/>
      <c r="O21" s="377"/>
      <c r="P21" s="377"/>
      <c r="Q21" s="377"/>
      <c r="R21" s="377"/>
      <c r="S21" s="377"/>
      <c r="T21" s="377"/>
      <c r="U21" s="377"/>
      <c r="V21" s="377"/>
      <c r="W21" s="377"/>
      <c r="X21" s="377"/>
      <c r="Y21" s="377"/>
      <c r="Z21" s="377"/>
    </row>
    <row r="22" spans="1:26" ht="18" customHeight="1">
      <c r="A22" s="338" t="s">
        <v>557</v>
      </c>
      <c r="B22" s="339" t="s">
        <v>58</v>
      </c>
      <c r="C22" s="55">
        <v>0</v>
      </c>
      <c r="D22" s="55">
        <v>0</v>
      </c>
      <c r="E22" s="55">
        <v>0</v>
      </c>
      <c r="F22" s="55">
        <v>0</v>
      </c>
      <c r="G22" s="37">
        <v>70000</v>
      </c>
      <c r="H22" s="377"/>
      <c r="I22" s="377"/>
      <c r="J22" s="377"/>
      <c r="K22" s="377"/>
      <c r="L22" s="377"/>
      <c r="M22" s="377"/>
      <c r="N22" s="377"/>
      <c r="O22" s="377"/>
      <c r="P22" s="377"/>
      <c r="Q22" s="377"/>
      <c r="R22" s="377"/>
      <c r="S22" s="377"/>
      <c r="T22" s="377"/>
      <c r="U22" s="377"/>
      <c r="V22" s="377"/>
      <c r="W22" s="377"/>
      <c r="X22" s="377"/>
      <c r="Y22" s="377"/>
      <c r="Z22" s="377"/>
    </row>
    <row r="23" spans="1:26" ht="18" customHeight="1">
      <c r="A23" s="340" t="s">
        <v>59</v>
      </c>
      <c r="B23" s="339"/>
      <c r="C23" s="36"/>
      <c r="D23" s="36"/>
      <c r="E23" s="36"/>
      <c r="F23" s="37"/>
      <c r="G23" s="37"/>
      <c r="H23" s="377"/>
      <c r="I23" s="377"/>
      <c r="J23" s="377"/>
      <c r="K23" s="377"/>
      <c r="L23" s="377"/>
      <c r="M23" s="377"/>
      <c r="N23" s="377"/>
      <c r="O23" s="377"/>
      <c r="P23" s="377"/>
      <c r="Q23" s="377"/>
      <c r="R23" s="377"/>
      <c r="S23" s="377"/>
      <c r="T23" s="377"/>
      <c r="U23" s="377"/>
      <c r="V23" s="377"/>
      <c r="W23" s="377"/>
      <c r="X23" s="377"/>
      <c r="Y23" s="377"/>
      <c r="Z23" s="377"/>
    </row>
    <row r="24" spans="1:26" ht="18" customHeight="1">
      <c r="A24" s="338" t="s">
        <v>60</v>
      </c>
      <c r="B24" s="339" t="s">
        <v>61</v>
      </c>
      <c r="C24" s="36">
        <v>114675.6</v>
      </c>
      <c r="D24" s="36">
        <v>93103.92</v>
      </c>
      <c r="E24" s="36">
        <f t="shared" ref="E24:E27" si="3">F24-D24</f>
        <v>351847.44</v>
      </c>
      <c r="F24" s="37">
        <v>444951.36</v>
      </c>
      <c r="G24" s="37">
        <v>476189.64</v>
      </c>
      <c r="H24" s="377"/>
      <c r="I24" s="377"/>
      <c r="J24" s="377"/>
      <c r="K24" s="377"/>
      <c r="L24" s="377"/>
      <c r="M24" s="377"/>
      <c r="N24" s="377"/>
      <c r="O24" s="377"/>
      <c r="P24" s="377"/>
      <c r="Q24" s="377"/>
      <c r="R24" s="377"/>
      <c r="S24" s="377"/>
      <c r="T24" s="377"/>
      <c r="U24" s="377"/>
      <c r="V24" s="377"/>
      <c r="W24" s="377"/>
      <c r="X24" s="377"/>
      <c r="Y24" s="377"/>
      <c r="Z24" s="377"/>
    </row>
    <row r="25" spans="1:26" ht="18" customHeight="1">
      <c r="A25" s="338" t="s">
        <v>62</v>
      </c>
      <c r="B25" s="339" t="s">
        <v>63</v>
      </c>
      <c r="C25" s="36">
        <v>4600</v>
      </c>
      <c r="D25" s="36">
        <v>5500</v>
      </c>
      <c r="E25" s="36">
        <f t="shared" si="3"/>
        <v>6500</v>
      </c>
      <c r="F25" s="37">
        <v>12000</v>
      </c>
      <c r="G25" s="37">
        <v>24000</v>
      </c>
      <c r="H25" s="377"/>
      <c r="I25" s="377"/>
      <c r="J25" s="377"/>
      <c r="K25" s="377"/>
      <c r="L25" s="377"/>
      <c r="M25" s="377"/>
      <c r="N25" s="377"/>
      <c r="O25" s="377"/>
      <c r="P25" s="377"/>
      <c r="Q25" s="377"/>
      <c r="R25" s="377"/>
      <c r="S25" s="377"/>
      <c r="T25" s="377"/>
      <c r="U25" s="377"/>
      <c r="V25" s="377"/>
      <c r="W25" s="377"/>
      <c r="X25" s="377"/>
      <c r="Y25" s="377"/>
      <c r="Z25" s="377"/>
    </row>
    <row r="26" spans="1:26" ht="18" customHeight="1">
      <c r="A26" s="338" t="s">
        <v>64</v>
      </c>
      <c r="B26" s="339" t="s">
        <v>65</v>
      </c>
      <c r="C26" s="36">
        <v>19132.21</v>
      </c>
      <c r="D26" s="36">
        <v>20689.78</v>
      </c>
      <c r="E26" s="36">
        <f t="shared" si="3"/>
        <v>62738.66</v>
      </c>
      <c r="F26" s="37">
        <v>83428.44</v>
      </c>
      <c r="G26" s="37">
        <v>99206.18</v>
      </c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7"/>
      <c r="U26" s="377"/>
      <c r="V26" s="377"/>
      <c r="W26" s="377"/>
      <c r="X26" s="377"/>
      <c r="Y26" s="377"/>
      <c r="Z26" s="377"/>
    </row>
    <row r="27" spans="1:26" ht="18" customHeight="1">
      <c r="A27" s="341" t="s">
        <v>66</v>
      </c>
      <c r="B27" s="342" t="s">
        <v>67</v>
      </c>
      <c r="C27" s="72">
        <v>4600</v>
      </c>
      <c r="D27" s="72">
        <v>3000</v>
      </c>
      <c r="E27" s="72">
        <f t="shared" si="3"/>
        <v>9000</v>
      </c>
      <c r="F27" s="123">
        <v>12000</v>
      </c>
      <c r="G27" s="123">
        <v>12000</v>
      </c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  <c r="V27" s="377"/>
      <c r="W27" s="377"/>
      <c r="X27" s="377"/>
      <c r="Y27" s="377"/>
      <c r="Z27" s="377"/>
    </row>
    <row r="28" spans="1:26" ht="18" customHeight="1">
      <c r="A28" s="546" t="s">
        <v>589</v>
      </c>
      <c r="B28" s="344"/>
      <c r="C28" s="129"/>
      <c r="D28" s="129"/>
      <c r="E28" s="129"/>
      <c r="F28" s="121"/>
      <c r="G28" s="121"/>
      <c r="H28" s="377"/>
      <c r="I28" s="377"/>
      <c r="J28" s="377"/>
      <c r="K28" s="377"/>
      <c r="L28" s="377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</row>
    <row r="29" spans="1:26" ht="18" customHeight="1" thickBot="1">
      <c r="A29" s="426" t="s">
        <v>635</v>
      </c>
      <c r="B29" s="347" t="s">
        <v>520</v>
      </c>
      <c r="C29" s="55">
        <v>0</v>
      </c>
      <c r="D29" s="55">
        <v>0</v>
      </c>
      <c r="E29" s="55">
        <v>0</v>
      </c>
      <c r="F29" s="83">
        <v>0</v>
      </c>
      <c r="G29" s="49">
        <v>159367.10999999999</v>
      </c>
      <c r="H29" s="377"/>
      <c r="I29" s="386"/>
      <c r="J29" s="377"/>
      <c r="K29" s="377"/>
      <c r="L29" s="377"/>
      <c r="M29" s="377"/>
      <c r="N29" s="377"/>
      <c r="O29" s="377"/>
      <c r="P29" s="377"/>
      <c r="Q29" s="377"/>
      <c r="R29" s="377"/>
      <c r="S29" s="377"/>
      <c r="T29" s="377"/>
      <c r="U29" s="377"/>
      <c r="V29" s="377"/>
      <c r="W29" s="377"/>
      <c r="X29" s="377"/>
      <c r="Y29" s="377"/>
      <c r="Z29" s="377"/>
    </row>
    <row r="30" spans="1:26" ht="19.5" customHeight="1" thickTop="1" thickBot="1">
      <c r="A30" s="351" t="s">
        <v>71</v>
      </c>
      <c r="B30" s="352"/>
      <c r="C30" s="75">
        <f t="shared" ref="C30:F30" si="4">SUM(C13:C27)</f>
        <v>1448787.44</v>
      </c>
      <c r="D30" s="75">
        <f t="shared" si="4"/>
        <v>1117470.7</v>
      </c>
      <c r="E30" s="75">
        <f t="shared" si="4"/>
        <v>4160825.1</v>
      </c>
      <c r="F30" s="75">
        <f t="shared" si="4"/>
        <v>5278295.8000000007</v>
      </c>
      <c r="G30" s="77">
        <f>SUM(G13:G29)</f>
        <v>5882936.9299999997</v>
      </c>
      <c r="H30" s="377"/>
      <c r="I30" s="377"/>
      <c r="J30" s="377"/>
      <c r="K30" s="377"/>
      <c r="L30" s="377"/>
      <c r="M30" s="377"/>
      <c r="N30" s="377"/>
      <c r="O30" s="377"/>
      <c r="P30" s="377"/>
      <c r="Q30" s="377"/>
      <c r="R30" s="377"/>
      <c r="S30" s="377"/>
      <c r="T30" s="377"/>
      <c r="U30" s="377"/>
      <c r="V30" s="377"/>
      <c r="W30" s="377"/>
      <c r="X30" s="377"/>
      <c r="Y30" s="377"/>
      <c r="Z30" s="377"/>
    </row>
    <row r="31" spans="1:26" ht="18" customHeight="1" thickTop="1">
      <c r="A31" s="355" t="s">
        <v>72</v>
      </c>
      <c r="B31" s="356"/>
      <c r="C31" s="427"/>
      <c r="D31" s="427"/>
      <c r="E31" s="427"/>
      <c r="F31" s="547"/>
      <c r="G31" s="327"/>
      <c r="H31" s="377"/>
      <c r="I31" s="377"/>
      <c r="J31" s="377"/>
      <c r="K31" s="377"/>
      <c r="L31" s="377"/>
      <c r="M31" s="377"/>
      <c r="N31" s="377"/>
      <c r="O31" s="377"/>
      <c r="P31" s="377"/>
      <c r="Q31" s="377"/>
      <c r="R31" s="377"/>
      <c r="S31" s="377"/>
      <c r="T31" s="377"/>
      <c r="U31" s="377"/>
      <c r="V31" s="377"/>
      <c r="W31" s="377"/>
      <c r="X31" s="377"/>
      <c r="Y31" s="377"/>
      <c r="Z31" s="377"/>
    </row>
    <row r="32" spans="1:26" ht="18" customHeight="1">
      <c r="A32" s="359" t="s">
        <v>77</v>
      </c>
      <c r="B32" s="360" t="s">
        <v>78</v>
      </c>
      <c r="C32" s="38">
        <v>6839</v>
      </c>
      <c r="D32" s="38">
        <v>0</v>
      </c>
      <c r="E32" s="72">
        <f t="shared" ref="E32:E37" si="5">F32-D32</f>
        <v>20000</v>
      </c>
      <c r="F32" s="145">
        <v>20000</v>
      </c>
      <c r="G32" s="145">
        <v>20000</v>
      </c>
      <c r="H32" s="377"/>
      <c r="I32" s="377"/>
      <c r="J32" s="377"/>
      <c r="K32" s="377"/>
      <c r="L32" s="377"/>
      <c r="M32" s="377"/>
      <c r="N32" s="377"/>
      <c r="O32" s="377"/>
      <c r="P32" s="377"/>
      <c r="Q32" s="377"/>
      <c r="R32" s="377"/>
      <c r="S32" s="377"/>
      <c r="T32" s="377"/>
      <c r="U32" s="377"/>
      <c r="V32" s="377"/>
      <c r="W32" s="377"/>
      <c r="X32" s="377"/>
      <c r="Y32" s="377"/>
      <c r="Z32" s="377"/>
    </row>
    <row r="33" spans="1:26" ht="18" customHeight="1">
      <c r="A33" s="338" t="s">
        <v>81</v>
      </c>
      <c r="B33" s="339" t="s">
        <v>82</v>
      </c>
      <c r="C33" s="38">
        <v>12405.6</v>
      </c>
      <c r="D33" s="38">
        <v>4922.25</v>
      </c>
      <c r="E33" s="72">
        <f t="shared" si="5"/>
        <v>14917.75</v>
      </c>
      <c r="F33" s="57">
        <v>19840</v>
      </c>
      <c r="G33" s="57">
        <v>17800</v>
      </c>
      <c r="H33" s="377"/>
      <c r="I33" s="377"/>
      <c r="J33" s="377"/>
      <c r="K33" s="377"/>
      <c r="L33" s="377"/>
      <c r="M33" s="377"/>
      <c r="N33" s="377"/>
      <c r="O33" s="377"/>
      <c r="P33" s="377"/>
      <c r="Q33" s="377"/>
      <c r="R33" s="377"/>
      <c r="S33" s="377"/>
      <c r="T33" s="377"/>
      <c r="U33" s="377"/>
      <c r="V33" s="377"/>
      <c r="W33" s="377"/>
      <c r="X33" s="377"/>
      <c r="Y33" s="377"/>
      <c r="Z33" s="377"/>
    </row>
    <row r="34" spans="1:26" ht="18" customHeight="1">
      <c r="A34" s="359" t="s">
        <v>83</v>
      </c>
      <c r="B34" s="360" t="s">
        <v>84</v>
      </c>
      <c r="C34" s="38">
        <v>60000</v>
      </c>
      <c r="D34" s="38">
        <v>30000</v>
      </c>
      <c r="E34" s="72">
        <f t="shared" si="5"/>
        <v>30000</v>
      </c>
      <c r="F34" s="57">
        <v>60000</v>
      </c>
      <c r="G34" s="57">
        <v>60000</v>
      </c>
      <c r="H34" s="377"/>
      <c r="I34" s="377"/>
      <c r="J34" s="377"/>
      <c r="K34" s="377"/>
      <c r="L34" s="377"/>
      <c r="M34" s="377"/>
      <c r="N34" s="377"/>
      <c r="O34" s="377"/>
      <c r="P34" s="377"/>
      <c r="Q34" s="377"/>
      <c r="R34" s="377"/>
      <c r="S34" s="377"/>
      <c r="T34" s="377"/>
      <c r="U34" s="377"/>
      <c r="V34" s="377"/>
      <c r="W34" s="377"/>
      <c r="X34" s="377"/>
      <c r="Y34" s="377"/>
      <c r="Z34" s="377"/>
    </row>
    <row r="35" spans="1:26" ht="18.600000000000001" customHeight="1">
      <c r="A35" s="548" t="s">
        <v>671</v>
      </c>
      <c r="B35" s="339" t="s">
        <v>86</v>
      </c>
      <c r="C35" s="38">
        <v>29450.75</v>
      </c>
      <c r="D35" s="38">
        <v>31560.6</v>
      </c>
      <c r="E35" s="72">
        <f t="shared" si="5"/>
        <v>40439.4</v>
      </c>
      <c r="F35" s="57">
        <v>72000</v>
      </c>
      <c r="G35" s="57">
        <v>72000</v>
      </c>
      <c r="H35" s="377"/>
      <c r="I35" s="377"/>
      <c r="J35" s="377"/>
      <c r="K35" s="377"/>
      <c r="L35" s="377"/>
      <c r="M35" s="377"/>
      <c r="N35" s="377"/>
      <c r="O35" s="377"/>
      <c r="P35" s="377"/>
      <c r="Q35" s="377"/>
      <c r="R35" s="377"/>
      <c r="S35" s="377"/>
      <c r="T35" s="377"/>
      <c r="U35" s="377"/>
      <c r="V35" s="377"/>
      <c r="W35" s="377"/>
      <c r="X35" s="377"/>
      <c r="Y35" s="377"/>
      <c r="Z35" s="377"/>
    </row>
    <row r="36" spans="1:26" ht="18" customHeight="1">
      <c r="A36" s="359" t="s">
        <v>199</v>
      </c>
      <c r="B36" s="360" t="s">
        <v>200</v>
      </c>
      <c r="C36" s="55">
        <v>0</v>
      </c>
      <c r="D36" s="55">
        <v>71959.67</v>
      </c>
      <c r="E36" s="72">
        <f t="shared" si="5"/>
        <v>89080.33</v>
      </c>
      <c r="F36" s="57">
        <f>610*22*12</f>
        <v>161040</v>
      </c>
      <c r="G36" s="57">
        <v>170280</v>
      </c>
      <c r="H36" s="377"/>
      <c r="I36" s="377"/>
      <c r="J36" s="377"/>
      <c r="K36" s="377"/>
      <c r="L36" s="377"/>
      <c r="M36" s="377"/>
      <c r="N36" s="377"/>
      <c r="O36" s="377"/>
      <c r="P36" s="377"/>
      <c r="Q36" s="377"/>
      <c r="R36" s="377"/>
      <c r="S36" s="377"/>
      <c r="T36" s="377"/>
      <c r="U36" s="377"/>
      <c r="V36" s="377"/>
      <c r="W36" s="377"/>
      <c r="X36" s="377"/>
      <c r="Y36" s="377"/>
      <c r="Z36" s="377"/>
    </row>
    <row r="37" spans="1:26" ht="18" customHeight="1">
      <c r="A37" s="359" t="s">
        <v>226</v>
      </c>
      <c r="B37" s="360" t="s">
        <v>227</v>
      </c>
      <c r="C37" s="55">
        <v>0</v>
      </c>
      <c r="D37" s="55">
        <v>0</v>
      </c>
      <c r="E37" s="72">
        <f t="shared" si="5"/>
        <v>60000</v>
      </c>
      <c r="F37" s="57">
        <v>60000</v>
      </c>
      <c r="G37" s="57">
        <v>0</v>
      </c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  <c r="Z37" s="312"/>
    </row>
    <row r="38" spans="1:26" ht="18" customHeight="1">
      <c r="A38" s="359" t="s">
        <v>108</v>
      </c>
      <c r="B38" s="360" t="s">
        <v>109</v>
      </c>
      <c r="C38" s="55"/>
      <c r="D38" s="55"/>
      <c r="E38" s="38"/>
      <c r="F38" s="57"/>
      <c r="G38" s="57"/>
      <c r="H38" s="377"/>
      <c r="I38" s="377"/>
      <c r="J38" s="377"/>
      <c r="K38" s="377"/>
      <c r="L38" s="377"/>
      <c r="M38" s="377"/>
      <c r="N38" s="377"/>
      <c r="O38" s="377"/>
      <c r="P38" s="377"/>
      <c r="Q38" s="377"/>
      <c r="R38" s="377"/>
      <c r="S38" s="377"/>
      <c r="T38" s="377"/>
      <c r="U38" s="377"/>
      <c r="V38" s="377"/>
      <c r="W38" s="377"/>
      <c r="X38" s="377"/>
      <c r="Y38" s="377"/>
      <c r="Z38" s="377"/>
    </row>
    <row r="39" spans="1:26" ht="18" customHeight="1">
      <c r="A39" s="359" t="s">
        <v>253</v>
      </c>
      <c r="B39" s="360"/>
      <c r="C39" s="55">
        <v>0</v>
      </c>
      <c r="D39" s="55">
        <v>0</v>
      </c>
      <c r="E39" s="72">
        <f t="shared" ref="E39" si="6">F39-D39</f>
        <v>24000</v>
      </c>
      <c r="F39" s="57">
        <v>24000</v>
      </c>
      <c r="G39" s="57">
        <v>0</v>
      </c>
      <c r="H39" s="377"/>
      <c r="I39" s="377"/>
      <c r="J39" s="377"/>
      <c r="K39" s="377"/>
      <c r="L39" s="377"/>
      <c r="M39" s="377"/>
      <c r="N39" s="377"/>
      <c r="O39" s="377"/>
      <c r="P39" s="377"/>
      <c r="Q39" s="377"/>
      <c r="R39" s="377"/>
      <c r="S39" s="377"/>
      <c r="T39" s="377"/>
      <c r="U39" s="377"/>
      <c r="V39" s="377"/>
      <c r="W39" s="377"/>
      <c r="X39" s="377"/>
      <c r="Y39" s="377"/>
      <c r="Z39" s="377"/>
    </row>
    <row r="40" spans="1:26" ht="18" customHeight="1" thickBot="1">
      <c r="A40" s="359"/>
      <c r="B40" s="360"/>
      <c r="C40" s="55"/>
      <c r="D40" s="55"/>
      <c r="E40" s="38"/>
      <c r="F40" s="57"/>
      <c r="G40" s="57"/>
      <c r="H40" s="377"/>
      <c r="I40" s="377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</row>
    <row r="41" spans="1:26" ht="19.5" customHeight="1" thickTop="1" thickBot="1">
      <c r="A41" s="351" t="s">
        <v>162</v>
      </c>
      <c r="B41" s="367"/>
      <c r="C41" s="112">
        <f>SUM(C32:C40)</f>
        <v>108695.35</v>
      </c>
      <c r="D41" s="112">
        <f>SUM(D32:D40)</f>
        <v>138442.52000000002</v>
      </c>
      <c r="E41" s="112">
        <f>SUM(E32:E40)</f>
        <v>278437.48</v>
      </c>
      <c r="F41" s="112">
        <f>SUM(F32:F40)</f>
        <v>416880</v>
      </c>
      <c r="G41" s="112">
        <f>SUM(G32:G40)</f>
        <v>340080</v>
      </c>
      <c r="H41" s="377"/>
      <c r="I41" s="377"/>
      <c r="J41" s="377"/>
      <c r="K41" s="377"/>
      <c r="L41" s="549"/>
      <c r="M41" s="377"/>
      <c r="N41" s="377">
        <v>270972</v>
      </c>
      <c r="O41" s="377"/>
      <c r="P41" s="377"/>
      <c r="Q41" s="377"/>
      <c r="R41" s="377"/>
      <c r="S41" s="377"/>
      <c r="T41" s="377"/>
      <c r="U41" s="377"/>
      <c r="V41" s="377"/>
      <c r="W41" s="377"/>
      <c r="X41" s="377"/>
      <c r="Y41" s="377"/>
      <c r="Z41" s="377"/>
    </row>
    <row r="42" spans="1:26" ht="18" customHeight="1" thickTop="1" thickBot="1">
      <c r="A42" s="351" t="s">
        <v>181</v>
      </c>
      <c r="B42" s="367"/>
      <c r="C42" s="112">
        <f>C30+C41</f>
        <v>1557482.79</v>
      </c>
      <c r="D42" s="112">
        <f>D30+D41</f>
        <v>1255913.22</v>
      </c>
      <c r="E42" s="112">
        <f>E30+E41</f>
        <v>4439262.58</v>
      </c>
      <c r="F42" s="112">
        <f>F30+F41</f>
        <v>5695175.8000000007</v>
      </c>
      <c r="G42" s="112">
        <f>G30+G41</f>
        <v>6223016.9299999997</v>
      </c>
      <c r="H42" s="377"/>
      <c r="I42" s="377"/>
      <c r="J42" s="377"/>
      <c r="K42" s="377"/>
      <c r="L42" s="377"/>
      <c r="M42" s="377"/>
      <c r="N42" s="377"/>
      <c r="O42" s="377"/>
      <c r="P42" s="377"/>
      <c r="Q42" s="377"/>
      <c r="R42" s="377"/>
      <c r="S42" s="377"/>
      <c r="T42" s="377"/>
      <c r="U42" s="377"/>
      <c r="V42" s="377"/>
      <c r="W42" s="377"/>
      <c r="X42" s="377"/>
      <c r="Y42" s="377"/>
      <c r="Z42" s="377"/>
    </row>
    <row r="43" spans="1:26" ht="12" customHeight="1" thickTop="1">
      <c r="A43" s="317"/>
      <c r="B43" s="317"/>
      <c r="C43" s="317"/>
      <c r="D43" s="317"/>
      <c r="E43" s="317"/>
      <c r="F43" s="317"/>
      <c r="G43" s="317"/>
      <c r="H43" s="377"/>
      <c r="I43" s="377"/>
      <c r="J43" s="377"/>
      <c r="K43" s="377"/>
      <c r="L43" s="377"/>
      <c r="M43" s="377"/>
      <c r="N43" s="377"/>
      <c r="O43" s="377"/>
      <c r="P43" s="377"/>
      <c r="Q43" s="377"/>
      <c r="R43" s="377"/>
      <c r="S43" s="377"/>
      <c r="T43" s="377"/>
      <c r="U43" s="377"/>
      <c r="V43" s="377"/>
      <c r="W43" s="377"/>
      <c r="X43" s="377"/>
      <c r="Y43" s="377"/>
      <c r="Z43" s="377"/>
    </row>
    <row r="44" spans="1:26" ht="18" customHeight="1">
      <c r="A44" s="317"/>
      <c r="B44" s="317"/>
      <c r="C44" s="317"/>
      <c r="D44" s="317"/>
      <c r="E44" s="317"/>
      <c r="F44" s="317"/>
      <c r="G44" s="317"/>
      <c r="H44" s="377"/>
      <c r="I44" s="377"/>
      <c r="J44" s="377"/>
      <c r="K44" s="377"/>
      <c r="L44" s="377"/>
      <c r="M44" s="377"/>
      <c r="N44" s="377"/>
      <c r="O44" s="377"/>
      <c r="P44" s="377"/>
      <c r="Q44" s="377"/>
      <c r="R44" s="377"/>
      <c r="S44" s="377"/>
      <c r="T44" s="377"/>
      <c r="U44" s="377"/>
      <c r="V44" s="377"/>
      <c r="W44" s="377"/>
      <c r="X44" s="377"/>
      <c r="Y44" s="377"/>
      <c r="Z44" s="377"/>
    </row>
    <row r="45" spans="1:26" ht="18" customHeight="1">
      <c r="A45" s="317"/>
      <c r="B45" s="550"/>
      <c r="C45" s="317"/>
      <c r="D45" s="317"/>
      <c r="E45" s="317"/>
      <c r="F45" s="317"/>
      <c r="G45" s="317"/>
      <c r="H45" s="377"/>
      <c r="I45" s="377"/>
      <c r="J45" s="377"/>
      <c r="K45" s="377"/>
      <c r="L45" s="377"/>
      <c r="M45" s="377"/>
      <c r="N45" s="377"/>
      <c r="O45" s="377"/>
      <c r="P45" s="377"/>
      <c r="Q45" s="377"/>
      <c r="R45" s="377"/>
      <c r="S45" s="377"/>
      <c r="T45" s="377"/>
      <c r="U45" s="377"/>
      <c r="V45" s="377"/>
      <c r="W45" s="377"/>
      <c r="X45" s="377"/>
      <c r="Y45" s="377"/>
      <c r="Z45" s="377"/>
    </row>
    <row r="46" spans="1:26" ht="18" customHeight="1">
      <c r="A46" s="317"/>
      <c r="B46" s="317"/>
      <c r="C46" s="317"/>
      <c r="D46" s="317"/>
      <c r="E46" s="317"/>
      <c r="F46" s="317"/>
      <c r="G46" s="317"/>
      <c r="H46" s="377"/>
      <c r="I46" s="377"/>
      <c r="J46" s="377"/>
      <c r="K46" s="377"/>
      <c r="L46" s="377"/>
      <c r="M46" s="377"/>
      <c r="N46" s="377"/>
      <c r="O46" s="377"/>
      <c r="P46" s="377"/>
      <c r="Q46" s="377"/>
      <c r="R46" s="377"/>
      <c r="S46" s="377"/>
      <c r="T46" s="377"/>
      <c r="U46" s="377"/>
      <c r="V46" s="377"/>
      <c r="W46" s="377"/>
      <c r="X46" s="377"/>
      <c r="Y46" s="377"/>
      <c r="Z46" s="377"/>
    </row>
    <row r="47" spans="1:26" ht="18" customHeight="1">
      <c r="A47" s="317"/>
      <c r="B47" s="317"/>
      <c r="C47" s="317"/>
      <c r="D47" s="317"/>
      <c r="E47" s="317"/>
      <c r="F47" s="317"/>
      <c r="G47" s="317"/>
      <c r="H47" s="377"/>
      <c r="I47" s="377"/>
      <c r="J47" s="377"/>
      <c r="K47" s="377"/>
      <c r="L47" s="377"/>
      <c r="M47" s="377"/>
      <c r="N47" s="377"/>
      <c r="O47" s="377"/>
      <c r="P47" s="377"/>
      <c r="Q47" s="377"/>
      <c r="R47" s="377"/>
      <c r="S47" s="377"/>
      <c r="T47" s="377"/>
      <c r="U47" s="377"/>
      <c r="V47" s="377"/>
      <c r="W47" s="377"/>
      <c r="X47" s="377"/>
      <c r="Y47" s="377"/>
      <c r="Z47" s="377"/>
    </row>
    <row r="48" spans="1:26" ht="18" customHeight="1">
      <c r="A48" s="309"/>
      <c r="B48" s="1239"/>
      <c r="C48" s="1236"/>
      <c r="D48" s="1236"/>
      <c r="E48" s="369"/>
      <c r="F48" s="1240"/>
      <c r="G48" s="1241"/>
      <c r="H48" s="377"/>
      <c r="I48" s="377"/>
      <c r="J48" s="377"/>
      <c r="K48" s="377"/>
      <c r="L48" s="377"/>
      <c r="M48" s="377"/>
      <c r="N48" s="377"/>
      <c r="O48" s="377"/>
      <c r="P48" s="377"/>
      <c r="Q48" s="377"/>
      <c r="R48" s="377"/>
      <c r="S48" s="377"/>
      <c r="T48" s="377"/>
      <c r="U48" s="377"/>
      <c r="V48" s="377"/>
      <c r="W48" s="377"/>
      <c r="X48" s="377"/>
      <c r="Y48" s="377"/>
      <c r="Z48" s="377"/>
    </row>
    <row r="49" spans="1:26" ht="18" customHeight="1">
      <c r="A49" s="317"/>
      <c r="B49" s="317"/>
      <c r="C49" s="317"/>
      <c r="D49" s="317"/>
      <c r="E49" s="317"/>
      <c r="F49" s="317"/>
      <c r="G49" s="31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/>
      <c r="Z49" s="377"/>
    </row>
    <row r="50" spans="1:26" ht="18" customHeight="1">
      <c r="A50" s="551"/>
      <c r="B50" s="552"/>
      <c r="C50" s="553"/>
      <c r="D50" s="553"/>
      <c r="E50" s="553"/>
      <c r="F50" s="553"/>
      <c r="G50" s="553"/>
      <c r="H50" s="377"/>
      <c r="I50" s="377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</row>
    <row r="51" spans="1:26" ht="18" customHeight="1">
      <c r="A51" s="317"/>
      <c r="B51" s="317"/>
      <c r="C51" s="317"/>
      <c r="D51" s="317"/>
      <c r="E51" s="317"/>
      <c r="F51" s="317"/>
      <c r="G51" s="317"/>
      <c r="H51" s="377"/>
      <c r="I51" s="377"/>
      <c r="J51" s="377"/>
      <c r="K51" s="377"/>
      <c r="L51" s="377"/>
      <c r="M51" s="377"/>
      <c r="N51" s="377"/>
      <c r="O51" s="377"/>
      <c r="P51" s="377"/>
      <c r="Q51" s="377"/>
      <c r="R51" s="377"/>
      <c r="S51" s="377"/>
      <c r="T51" s="377"/>
      <c r="U51" s="377"/>
      <c r="V51" s="377"/>
      <c r="W51" s="377"/>
      <c r="X51" s="377"/>
      <c r="Y51" s="377"/>
      <c r="Z51" s="377"/>
    </row>
    <row r="52" spans="1:26" ht="18" customHeight="1">
      <c r="A52" s="317"/>
      <c r="B52" s="317"/>
      <c r="C52" s="317"/>
      <c r="D52" s="317"/>
      <c r="E52" s="317"/>
      <c r="F52" s="317"/>
      <c r="G52" s="317"/>
      <c r="H52" s="377"/>
      <c r="I52" s="377"/>
      <c r="J52" s="377"/>
      <c r="K52" s="377"/>
      <c r="L52" s="377"/>
      <c r="M52" s="377"/>
      <c r="N52" s="377"/>
      <c r="O52" s="377"/>
      <c r="P52" s="377"/>
      <c r="Q52" s="377"/>
      <c r="R52" s="377"/>
      <c r="S52" s="377"/>
      <c r="T52" s="377"/>
      <c r="U52" s="377"/>
      <c r="V52" s="377"/>
      <c r="W52" s="377"/>
      <c r="X52" s="377"/>
      <c r="Y52" s="377"/>
      <c r="Z52" s="377"/>
    </row>
    <row r="53" spans="1:26" ht="18" customHeight="1">
      <c r="A53" s="317"/>
      <c r="B53" s="317"/>
      <c r="C53" s="317"/>
      <c r="D53" s="317"/>
      <c r="E53" s="317"/>
      <c r="F53" s="317"/>
      <c r="G53" s="317"/>
      <c r="H53" s="377"/>
      <c r="I53" s="377"/>
      <c r="J53" s="377"/>
      <c r="K53" s="377"/>
      <c r="L53" s="377"/>
      <c r="M53" s="377"/>
      <c r="N53" s="377"/>
      <c r="O53" s="377"/>
      <c r="P53" s="377"/>
      <c r="Q53" s="377"/>
      <c r="R53" s="377"/>
      <c r="S53" s="377"/>
      <c r="T53" s="377"/>
      <c r="U53" s="377"/>
      <c r="V53" s="377"/>
      <c r="W53" s="377"/>
      <c r="X53" s="377"/>
      <c r="Y53" s="377"/>
      <c r="Z53" s="377"/>
    </row>
    <row r="54" spans="1:26" ht="18" customHeight="1">
      <c r="A54" s="317"/>
      <c r="B54" s="317"/>
      <c r="C54" s="317"/>
      <c r="D54" s="317"/>
      <c r="E54" s="317"/>
      <c r="F54" s="317"/>
      <c r="G54" s="317"/>
      <c r="H54" s="377"/>
      <c r="I54" s="377"/>
      <c r="J54" s="377"/>
      <c r="K54" s="377"/>
      <c r="L54" s="377"/>
      <c r="M54" s="377"/>
      <c r="N54" s="377"/>
      <c r="O54" s="377"/>
      <c r="P54" s="377"/>
      <c r="Q54" s="377"/>
      <c r="R54" s="377"/>
      <c r="S54" s="377"/>
      <c r="T54" s="377"/>
      <c r="U54" s="377"/>
      <c r="V54" s="377"/>
      <c r="W54" s="377"/>
      <c r="X54" s="377"/>
      <c r="Y54" s="377"/>
      <c r="Z54" s="377"/>
    </row>
    <row r="55" spans="1:26" ht="18" customHeight="1">
      <c r="A55" s="317"/>
      <c r="B55" s="317"/>
      <c r="C55" s="317"/>
      <c r="D55" s="317"/>
      <c r="E55" s="317"/>
      <c r="F55" s="317"/>
      <c r="G55" s="317"/>
      <c r="H55" s="377"/>
      <c r="I55" s="377"/>
      <c r="J55" s="377"/>
      <c r="K55" s="377"/>
      <c r="L55" s="377"/>
      <c r="M55" s="377"/>
      <c r="N55" s="377"/>
      <c r="O55" s="377"/>
      <c r="P55" s="377"/>
      <c r="Q55" s="377"/>
      <c r="R55" s="377"/>
      <c r="S55" s="377"/>
      <c r="T55" s="377"/>
      <c r="U55" s="377"/>
      <c r="V55" s="377"/>
      <c r="W55" s="377"/>
      <c r="X55" s="377"/>
      <c r="Y55" s="377"/>
      <c r="Z55" s="377"/>
    </row>
    <row r="56" spans="1:26" ht="18" customHeight="1">
      <c r="A56" s="317"/>
      <c r="B56" s="317"/>
      <c r="C56" s="317"/>
      <c r="D56" s="317"/>
      <c r="E56" s="317"/>
      <c r="F56" s="317"/>
      <c r="G56" s="317"/>
      <c r="H56" s="377"/>
      <c r="I56" s="377"/>
      <c r="J56" s="377"/>
      <c r="K56" s="377"/>
      <c r="L56" s="377"/>
      <c r="M56" s="377"/>
      <c r="N56" s="377"/>
      <c r="O56" s="377"/>
      <c r="P56" s="377"/>
      <c r="Q56" s="377"/>
      <c r="R56" s="377"/>
      <c r="S56" s="377"/>
      <c r="T56" s="377"/>
      <c r="U56" s="377"/>
      <c r="V56" s="377"/>
      <c r="W56" s="377"/>
      <c r="X56" s="377"/>
      <c r="Y56" s="377"/>
      <c r="Z56" s="377"/>
    </row>
    <row r="57" spans="1:26" ht="18" customHeight="1">
      <c r="A57" s="317"/>
      <c r="B57" s="317"/>
      <c r="C57" s="317"/>
      <c r="D57" s="317"/>
      <c r="E57" s="317"/>
      <c r="F57" s="317"/>
      <c r="G57" s="317"/>
      <c r="H57" s="377"/>
      <c r="I57" s="377"/>
      <c r="J57" s="377"/>
      <c r="K57" s="377"/>
      <c r="L57" s="377"/>
      <c r="M57" s="377"/>
      <c r="N57" s="377"/>
      <c r="O57" s="377"/>
      <c r="P57" s="377"/>
      <c r="Q57" s="377"/>
      <c r="R57" s="377"/>
      <c r="S57" s="377"/>
      <c r="T57" s="377"/>
      <c r="U57" s="377"/>
      <c r="V57" s="377"/>
      <c r="W57" s="377"/>
      <c r="X57" s="377"/>
      <c r="Y57" s="377"/>
      <c r="Z57" s="377"/>
    </row>
    <row r="58" spans="1:26" ht="18" customHeight="1">
      <c r="A58" s="317" t="s">
        <v>183</v>
      </c>
      <c r="B58" s="317" t="s">
        <v>184</v>
      </c>
      <c r="C58" s="317"/>
      <c r="D58" s="317"/>
      <c r="E58" s="317"/>
      <c r="F58" s="317" t="s">
        <v>185</v>
      </c>
      <c r="G58" s="317"/>
      <c r="H58" s="377"/>
      <c r="I58" s="377"/>
      <c r="J58" s="377"/>
      <c r="K58" s="377"/>
      <c r="L58" s="377"/>
      <c r="M58" s="377"/>
      <c r="N58" s="377"/>
      <c r="O58" s="377"/>
      <c r="P58" s="377"/>
      <c r="Q58" s="377"/>
      <c r="R58" s="377"/>
      <c r="S58" s="377"/>
      <c r="T58" s="377"/>
      <c r="U58" s="377"/>
      <c r="V58" s="377"/>
      <c r="W58" s="377"/>
      <c r="X58" s="377"/>
      <c r="Y58" s="377"/>
      <c r="Z58" s="377"/>
    </row>
    <row r="59" spans="1:26" ht="18" customHeight="1">
      <c r="A59" s="317"/>
      <c r="B59" s="317"/>
      <c r="C59" s="317"/>
      <c r="D59" s="317"/>
      <c r="E59" s="317"/>
      <c r="F59" s="317"/>
      <c r="G59" s="317"/>
      <c r="H59" s="377"/>
      <c r="I59" s="377"/>
      <c r="J59" s="377"/>
      <c r="K59" s="377"/>
      <c r="L59" s="377"/>
      <c r="M59" s="377"/>
      <c r="N59" s="377"/>
      <c r="O59" s="377"/>
      <c r="P59" s="377"/>
      <c r="Q59" s="377"/>
      <c r="R59" s="377"/>
      <c r="S59" s="377"/>
      <c r="T59" s="377"/>
      <c r="U59" s="377"/>
      <c r="V59" s="377"/>
      <c r="W59" s="377"/>
      <c r="X59" s="377"/>
      <c r="Y59" s="377"/>
      <c r="Z59" s="377"/>
    </row>
    <row r="60" spans="1:26" ht="18" customHeight="1">
      <c r="A60" s="317"/>
      <c r="B60" s="317"/>
      <c r="C60" s="317"/>
      <c r="D60" s="317"/>
      <c r="E60" s="317"/>
      <c r="F60" s="317"/>
      <c r="G60" s="317"/>
      <c r="H60" s="377"/>
      <c r="I60" s="377"/>
      <c r="J60" s="377"/>
      <c r="K60" s="377"/>
      <c r="L60" s="377"/>
      <c r="M60" s="377"/>
      <c r="N60" s="377"/>
      <c r="O60" s="377"/>
      <c r="P60" s="377"/>
      <c r="Q60" s="377"/>
      <c r="R60" s="377"/>
      <c r="S60" s="377"/>
      <c r="T60" s="377"/>
      <c r="U60" s="377"/>
      <c r="V60" s="377"/>
      <c r="W60" s="377"/>
      <c r="X60" s="377"/>
      <c r="Y60" s="377"/>
      <c r="Z60" s="377"/>
    </row>
    <row r="61" spans="1:26" ht="18" customHeight="1">
      <c r="A61" s="317"/>
      <c r="B61" s="317"/>
      <c r="C61" s="317"/>
      <c r="D61" s="317"/>
      <c r="E61" s="317"/>
      <c r="F61" s="317"/>
      <c r="G61" s="317"/>
      <c r="H61" s="377"/>
      <c r="I61" s="377"/>
      <c r="J61" s="377"/>
      <c r="K61" s="377"/>
      <c r="L61" s="377"/>
      <c r="M61" s="377"/>
      <c r="N61" s="377"/>
      <c r="O61" s="377"/>
      <c r="P61" s="377"/>
      <c r="Q61" s="377"/>
      <c r="R61" s="377"/>
      <c r="S61" s="377"/>
      <c r="T61" s="377"/>
      <c r="U61" s="377"/>
      <c r="V61" s="377"/>
      <c r="W61" s="377"/>
      <c r="X61" s="377"/>
      <c r="Y61" s="377"/>
      <c r="Z61" s="377"/>
    </row>
    <row r="62" spans="1:26" ht="18" customHeight="1">
      <c r="A62" s="317"/>
      <c r="B62" s="317"/>
      <c r="C62" s="317"/>
      <c r="D62" s="317"/>
      <c r="E62" s="317"/>
      <c r="F62" s="317"/>
      <c r="G62" s="317"/>
      <c r="H62" s="377"/>
      <c r="I62" s="377"/>
      <c r="J62" s="377"/>
      <c r="K62" s="377"/>
      <c r="L62" s="377"/>
      <c r="M62" s="377"/>
      <c r="N62" s="377"/>
      <c r="O62" s="377"/>
      <c r="P62" s="377"/>
      <c r="Q62" s="377"/>
      <c r="R62" s="377"/>
      <c r="S62" s="377"/>
      <c r="T62" s="377"/>
      <c r="U62" s="377"/>
      <c r="V62" s="377"/>
      <c r="W62" s="377"/>
      <c r="X62" s="377"/>
      <c r="Y62" s="377"/>
      <c r="Z62" s="377"/>
    </row>
    <row r="63" spans="1:26" ht="18" customHeight="1">
      <c r="A63" s="317"/>
      <c r="B63" s="317"/>
      <c r="C63" s="317"/>
      <c r="D63" s="317"/>
      <c r="E63" s="317"/>
      <c r="F63" s="317"/>
      <c r="G63" s="317"/>
      <c r="H63" s="377"/>
      <c r="I63" s="377"/>
      <c r="J63" s="377"/>
      <c r="K63" s="377"/>
      <c r="L63" s="377"/>
      <c r="M63" s="377"/>
      <c r="N63" s="377"/>
      <c r="O63" s="377"/>
      <c r="P63" s="377"/>
      <c r="Q63" s="377"/>
      <c r="R63" s="377"/>
      <c r="S63" s="377"/>
      <c r="T63" s="377"/>
      <c r="U63" s="377"/>
      <c r="V63" s="377"/>
      <c r="W63" s="377"/>
      <c r="X63" s="377"/>
      <c r="Y63" s="377"/>
      <c r="Z63" s="377"/>
    </row>
    <row r="64" spans="1:26" ht="18" customHeight="1">
      <c r="A64" s="317"/>
      <c r="B64" s="317"/>
      <c r="C64" s="317"/>
      <c r="D64" s="317"/>
      <c r="E64" s="317"/>
      <c r="F64" s="317"/>
      <c r="G64" s="317"/>
      <c r="H64" s="377"/>
      <c r="I64" s="377"/>
      <c r="J64" s="377"/>
      <c r="K64" s="377"/>
      <c r="L64" s="377"/>
      <c r="M64" s="377"/>
      <c r="N64" s="377"/>
      <c r="O64" s="377"/>
      <c r="P64" s="377"/>
      <c r="Q64" s="377"/>
      <c r="R64" s="377"/>
      <c r="S64" s="377"/>
      <c r="T64" s="377"/>
      <c r="U64" s="377"/>
      <c r="V64" s="377"/>
      <c r="W64" s="377"/>
      <c r="X64" s="377"/>
      <c r="Y64" s="377"/>
      <c r="Z64" s="377"/>
    </row>
    <row r="65" spans="1:26" ht="18" customHeight="1">
      <c r="A65" s="309" t="s">
        <v>672</v>
      </c>
      <c r="B65" s="1239" t="s">
        <v>187</v>
      </c>
      <c r="C65" s="1236"/>
      <c r="D65" s="1236"/>
      <c r="E65" s="369"/>
      <c r="F65" s="1240" t="s">
        <v>188</v>
      </c>
      <c r="G65" s="1241"/>
      <c r="H65" s="377"/>
      <c r="I65" s="377"/>
      <c r="J65" s="377"/>
      <c r="K65" s="377"/>
      <c r="L65" s="377"/>
      <c r="M65" s="377"/>
      <c r="N65" s="377"/>
      <c r="O65" s="377"/>
      <c r="P65" s="377"/>
      <c r="Q65" s="377"/>
      <c r="R65" s="377"/>
      <c r="S65" s="377"/>
      <c r="T65" s="377"/>
      <c r="U65" s="377"/>
      <c r="V65" s="377"/>
      <c r="W65" s="377"/>
      <c r="X65" s="377"/>
      <c r="Y65" s="377"/>
      <c r="Z65" s="377"/>
    </row>
    <row r="66" spans="1:26" ht="18" customHeight="1">
      <c r="A66" s="371" t="s">
        <v>254</v>
      </c>
      <c r="B66" s="1235" t="s">
        <v>190</v>
      </c>
      <c r="C66" s="1236"/>
      <c r="D66" s="1236"/>
      <c r="E66" s="372"/>
      <c r="F66" s="1237" t="s">
        <v>191</v>
      </c>
      <c r="G66" s="1241"/>
      <c r="H66" s="377"/>
      <c r="I66" s="377"/>
      <c r="J66" s="377"/>
      <c r="K66" s="377"/>
      <c r="L66" s="377"/>
      <c r="M66" s="377"/>
      <c r="N66" s="377"/>
      <c r="O66" s="377"/>
      <c r="P66" s="377"/>
      <c r="Q66" s="377"/>
      <c r="R66" s="377"/>
      <c r="S66" s="377"/>
      <c r="T66" s="377"/>
      <c r="U66" s="377"/>
      <c r="V66" s="377"/>
      <c r="W66" s="377"/>
      <c r="X66" s="377"/>
      <c r="Y66" s="377"/>
      <c r="Z66" s="377"/>
    </row>
    <row r="67" spans="1:26" ht="18" customHeight="1">
      <c r="A67" s="317"/>
      <c r="B67" s="317"/>
      <c r="C67" s="317"/>
      <c r="D67" s="317"/>
      <c r="E67" s="317"/>
      <c r="F67" s="317"/>
      <c r="G67" s="317"/>
      <c r="H67" s="377"/>
      <c r="I67" s="377"/>
      <c r="J67" s="377"/>
      <c r="K67" s="377"/>
      <c r="L67" s="377"/>
      <c r="M67" s="377"/>
      <c r="N67" s="377"/>
      <c r="O67" s="377"/>
      <c r="P67" s="377"/>
      <c r="Q67" s="377"/>
      <c r="R67" s="377"/>
      <c r="S67" s="377"/>
      <c r="T67" s="377"/>
      <c r="U67" s="377"/>
      <c r="V67" s="377"/>
      <c r="W67" s="377"/>
      <c r="X67" s="377"/>
      <c r="Y67" s="377"/>
      <c r="Z67" s="377"/>
    </row>
    <row r="68" spans="1:26" ht="18" customHeight="1">
      <c r="A68" s="317"/>
      <c r="B68" s="317"/>
      <c r="C68" s="317"/>
      <c r="D68" s="317"/>
      <c r="E68" s="317"/>
      <c r="F68" s="317"/>
      <c r="G68" s="317"/>
      <c r="H68" s="377"/>
      <c r="I68" s="377"/>
      <c r="J68" s="377"/>
      <c r="K68" s="377"/>
      <c r="L68" s="377"/>
      <c r="M68" s="377"/>
      <c r="N68" s="377"/>
      <c r="O68" s="377"/>
      <c r="P68" s="377"/>
      <c r="Q68" s="377"/>
      <c r="R68" s="377"/>
      <c r="S68" s="377"/>
      <c r="T68" s="377"/>
      <c r="U68" s="377"/>
      <c r="V68" s="377"/>
      <c r="W68" s="377"/>
      <c r="X68" s="377"/>
      <c r="Y68" s="377"/>
      <c r="Z68" s="377"/>
    </row>
    <row r="69" spans="1:26" ht="18" customHeight="1">
      <c r="A69" s="1238" t="s">
        <v>194</v>
      </c>
      <c r="B69" s="1238"/>
      <c r="C69" s="1238"/>
      <c r="D69" s="1238"/>
      <c r="E69" s="1238"/>
      <c r="F69" s="1238"/>
      <c r="G69" s="1238"/>
      <c r="H69" s="377"/>
      <c r="I69" s="377"/>
      <c r="J69" s="377"/>
      <c r="K69" s="377"/>
      <c r="L69" s="377"/>
      <c r="M69" s="377"/>
      <c r="N69" s="377"/>
      <c r="O69" s="377"/>
      <c r="P69" s="377"/>
      <c r="Q69" s="377"/>
      <c r="R69" s="377"/>
      <c r="S69" s="377"/>
      <c r="T69" s="377"/>
      <c r="U69" s="377"/>
      <c r="V69" s="377"/>
      <c r="W69" s="377"/>
      <c r="X69" s="377"/>
      <c r="Y69" s="377"/>
      <c r="Z69" s="377"/>
    </row>
    <row r="70" spans="1:26" ht="18" customHeight="1">
      <c r="A70" s="317"/>
      <c r="B70" s="317"/>
      <c r="C70" s="317"/>
      <c r="D70" s="317"/>
      <c r="E70" s="317"/>
      <c r="F70" s="317"/>
      <c r="G70" s="317"/>
      <c r="H70" s="377"/>
      <c r="I70" s="377"/>
      <c r="J70" s="377"/>
      <c r="K70" s="377"/>
      <c r="L70" s="377"/>
      <c r="M70" s="377"/>
      <c r="N70" s="377"/>
      <c r="O70" s="377"/>
      <c r="P70" s="377"/>
      <c r="Q70" s="377"/>
      <c r="R70" s="377"/>
      <c r="S70" s="377"/>
      <c r="T70" s="377"/>
      <c r="U70" s="377"/>
      <c r="V70" s="377"/>
      <c r="W70" s="377"/>
      <c r="X70" s="377"/>
      <c r="Y70" s="377"/>
      <c r="Z70" s="377"/>
    </row>
    <row r="71" spans="1:26" ht="18" customHeight="1">
      <c r="A71" s="317"/>
      <c r="B71" s="317"/>
      <c r="C71" s="317"/>
      <c r="D71" s="317"/>
      <c r="E71" s="317"/>
      <c r="F71" s="317"/>
      <c r="G71" s="317"/>
      <c r="H71" s="377"/>
      <c r="I71" s="377"/>
      <c r="J71" s="377"/>
      <c r="K71" s="377"/>
      <c r="L71" s="377"/>
      <c r="M71" s="377"/>
      <c r="N71" s="377"/>
      <c r="O71" s="377"/>
      <c r="P71" s="377"/>
      <c r="Q71" s="377"/>
      <c r="R71" s="377"/>
      <c r="S71" s="377"/>
      <c r="T71" s="377"/>
      <c r="U71" s="377"/>
      <c r="V71" s="377"/>
      <c r="W71" s="377"/>
      <c r="X71" s="377"/>
      <c r="Y71" s="377"/>
      <c r="Z71" s="377"/>
    </row>
    <row r="72" spans="1:26" ht="18" customHeight="1">
      <c r="A72" s="317"/>
      <c r="B72" s="317"/>
      <c r="C72" s="317"/>
      <c r="D72" s="317"/>
      <c r="E72" s="317"/>
      <c r="F72" s="317"/>
      <c r="G72" s="317"/>
      <c r="H72" s="377"/>
      <c r="I72" s="377"/>
      <c r="J72" s="377"/>
      <c r="K72" s="377"/>
      <c r="L72" s="377"/>
      <c r="M72" s="377"/>
      <c r="N72" s="377"/>
      <c r="O72" s="377"/>
      <c r="P72" s="377"/>
      <c r="Q72" s="377"/>
      <c r="R72" s="377"/>
      <c r="S72" s="377"/>
      <c r="T72" s="377"/>
      <c r="U72" s="377"/>
      <c r="V72" s="377"/>
      <c r="W72" s="377"/>
      <c r="X72" s="377"/>
      <c r="Y72" s="377"/>
      <c r="Z72" s="377"/>
    </row>
    <row r="73" spans="1:26" ht="18" customHeight="1">
      <c r="A73" s="317"/>
      <c r="B73" s="317"/>
      <c r="C73" s="317"/>
      <c r="D73" s="317"/>
      <c r="E73" s="317"/>
      <c r="F73" s="317"/>
      <c r="G73" s="317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377"/>
      <c r="T73" s="377"/>
      <c r="U73" s="377"/>
      <c r="V73" s="377"/>
      <c r="W73" s="377"/>
      <c r="X73" s="377"/>
      <c r="Y73" s="377"/>
      <c r="Z73" s="377"/>
    </row>
    <row r="74" spans="1:26" ht="18">
      <c r="A74" s="317"/>
      <c r="B74" s="317"/>
      <c r="C74" s="317"/>
      <c r="D74" s="317"/>
      <c r="E74" s="317"/>
      <c r="F74" s="317"/>
      <c r="G74" s="317"/>
    </row>
    <row r="75" spans="1:26" ht="18">
      <c r="A75" s="317"/>
      <c r="B75" s="317"/>
      <c r="C75" s="317"/>
      <c r="D75" s="317"/>
      <c r="E75" s="317"/>
      <c r="F75" s="317"/>
      <c r="G75" s="317"/>
    </row>
    <row r="76" spans="1:26" ht="18">
      <c r="A76" s="317"/>
      <c r="B76" s="317"/>
      <c r="C76" s="317"/>
      <c r="D76" s="317"/>
      <c r="E76" s="317"/>
      <c r="F76" s="317"/>
      <c r="G76" s="317"/>
    </row>
    <row r="77" spans="1:26" ht="18">
      <c r="A77" s="317"/>
      <c r="B77" s="317"/>
      <c r="C77" s="317"/>
      <c r="D77" s="317"/>
      <c r="E77" s="317"/>
      <c r="F77" s="317"/>
      <c r="G77" s="317"/>
    </row>
    <row r="78" spans="1:26" ht="18">
      <c r="A78" s="317"/>
      <c r="B78" s="317"/>
      <c r="C78" s="317"/>
      <c r="D78" s="317"/>
      <c r="E78" s="317"/>
      <c r="F78" s="317"/>
      <c r="G78" s="317"/>
    </row>
    <row r="79" spans="1:26" ht="18">
      <c r="A79" s="317"/>
      <c r="B79" s="317"/>
      <c r="C79" s="317"/>
      <c r="D79" s="317"/>
      <c r="E79" s="317"/>
      <c r="F79" s="317"/>
      <c r="G79" s="317"/>
    </row>
    <row r="80" spans="1:26" ht="18">
      <c r="A80" s="317"/>
      <c r="B80" s="317"/>
      <c r="C80" s="317"/>
      <c r="D80" s="317"/>
      <c r="E80" s="317"/>
      <c r="F80" s="317"/>
      <c r="G80" s="317"/>
    </row>
    <row r="81" spans="1:7" ht="18">
      <c r="A81" s="317"/>
      <c r="B81" s="317"/>
      <c r="C81" s="317"/>
      <c r="D81" s="317"/>
      <c r="E81" s="317"/>
      <c r="F81" s="317"/>
      <c r="G81" s="317"/>
    </row>
    <row r="82" spans="1:7" ht="18">
      <c r="A82" s="317"/>
      <c r="B82" s="317"/>
      <c r="C82" s="317"/>
      <c r="D82" s="317"/>
      <c r="E82" s="317"/>
      <c r="F82" s="317"/>
      <c r="G82" s="317"/>
    </row>
    <row r="83" spans="1:7" ht="18">
      <c r="A83" s="317"/>
      <c r="B83" s="317"/>
      <c r="C83" s="317"/>
      <c r="D83" s="317"/>
      <c r="E83" s="317"/>
      <c r="F83" s="317"/>
      <c r="G83" s="317"/>
    </row>
    <row r="84" spans="1:7" ht="18">
      <c r="A84" s="317"/>
      <c r="B84" s="317"/>
      <c r="C84" s="317"/>
      <c r="D84" s="317"/>
      <c r="E84" s="317"/>
      <c r="F84" s="317"/>
      <c r="G84" s="317"/>
    </row>
    <row r="85" spans="1:7" ht="18">
      <c r="A85" s="317"/>
      <c r="B85" s="317"/>
      <c r="C85" s="317"/>
      <c r="D85" s="317"/>
      <c r="E85" s="317"/>
      <c r="F85" s="317"/>
      <c r="G85" s="317"/>
    </row>
    <row r="86" spans="1:7" ht="18">
      <c r="A86" s="317"/>
      <c r="B86" s="317"/>
      <c r="C86" s="317"/>
      <c r="D86" s="317"/>
      <c r="E86" s="317"/>
      <c r="F86" s="317"/>
      <c r="G86" s="317"/>
    </row>
    <row r="87" spans="1:7" ht="18">
      <c r="A87" s="317"/>
      <c r="B87" s="317"/>
      <c r="C87" s="317"/>
      <c r="D87" s="317"/>
      <c r="E87" s="317"/>
      <c r="F87" s="317"/>
      <c r="G87" s="317"/>
    </row>
    <row r="88" spans="1:7" ht="18">
      <c r="A88" s="317"/>
      <c r="B88" s="317"/>
      <c r="C88" s="317"/>
      <c r="D88" s="317"/>
      <c r="E88" s="317"/>
      <c r="F88" s="317"/>
      <c r="G88" s="317"/>
    </row>
    <row r="89" spans="1:7" ht="18">
      <c r="A89" s="317"/>
      <c r="B89" s="317"/>
      <c r="C89" s="317"/>
      <c r="D89" s="317"/>
      <c r="E89" s="317"/>
      <c r="F89" s="317"/>
      <c r="G89" s="317"/>
    </row>
    <row r="90" spans="1:7" ht="18">
      <c r="A90" s="317"/>
      <c r="B90" s="317"/>
      <c r="C90" s="317"/>
      <c r="D90" s="317"/>
      <c r="E90" s="317"/>
      <c r="F90" s="317"/>
      <c r="G90" s="317"/>
    </row>
    <row r="91" spans="1:7" ht="18">
      <c r="A91" s="317"/>
      <c r="B91" s="317"/>
      <c r="C91" s="317"/>
      <c r="D91" s="317"/>
      <c r="E91" s="317"/>
      <c r="F91" s="317"/>
      <c r="G91" s="317"/>
    </row>
    <row r="92" spans="1:7" ht="18">
      <c r="A92" s="317"/>
      <c r="B92" s="317"/>
      <c r="C92" s="317"/>
      <c r="D92" s="317"/>
      <c r="E92" s="317"/>
      <c r="F92" s="317"/>
      <c r="G92" s="317"/>
    </row>
    <row r="93" spans="1:7" ht="18">
      <c r="A93" s="317"/>
      <c r="B93" s="317"/>
      <c r="C93" s="317"/>
      <c r="D93" s="317"/>
      <c r="E93" s="317"/>
      <c r="F93" s="317"/>
      <c r="G93" s="317"/>
    </row>
    <row r="94" spans="1:7" ht="18">
      <c r="A94" s="317"/>
      <c r="B94" s="317"/>
      <c r="C94" s="317"/>
      <c r="D94" s="317"/>
      <c r="E94" s="317"/>
      <c r="F94" s="317"/>
      <c r="G94" s="317"/>
    </row>
    <row r="95" spans="1:7" ht="18">
      <c r="A95" s="317"/>
      <c r="B95" s="317"/>
      <c r="C95" s="317"/>
      <c r="D95" s="317"/>
      <c r="E95" s="317"/>
      <c r="F95" s="317"/>
      <c r="G95" s="317"/>
    </row>
    <row r="96" spans="1:7" ht="18">
      <c r="A96" s="317"/>
      <c r="B96" s="317"/>
      <c r="C96" s="317"/>
      <c r="D96" s="317"/>
      <c r="E96" s="317"/>
      <c r="F96" s="317"/>
      <c r="G96" s="317"/>
    </row>
    <row r="97" spans="1:7" ht="18">
      <c r="A97" s="317"/>
      <c r="B97" s="317"/>
      <c r="C97" s="317"/>
      <c r="D97" s="317"/>
      <c r="E97" s="317"/>
      <c r="F97" s="317"/>
      <c r="G97" s="317"/>
    </row>
    <row r="98" spans="1:7" ht="18">
      <c r="A98" s="317"/>
      <c r="B98" s="317"/>
      <c r="C98" s="317"/>
      <c r="D98" s="317"/>
      <c r="E98" s="317"/>
      <c r="F98" s="317"/>
      <c r="G98" s="317"/>
    </row>
    <row r="99" spans="1:7" ht="18">
      <c r="A99" s="317"/>
      <c r="B99" s="317"/>
      <c r="C99" s="317"/>
      <c r="D99" s="317"/>
      <c r="E99" s="317"/>
      <c r="F99" s="317"/>
      <c r="G99" s="317"/>
    </row>
    <row r="100" spans="1:7" ht="18">
      <c r="A100" s="317"/>
      <c r="B100" s="317"/>
      <c r="C100" s="317"/>
      <c r="D100" s="317"/>
      <c r="E100" s="317"/>
      <c r="F100" s="317"/>
      <c r="G100" s="317"/>
    </row>
    <row r="101" spans="1:7" ht="18">
      <c r="A101" s="317"/>
      <c r="B101" s="317"/>
      <c r="C101" s="317"/>
      <c r="D101" s="317"/>
      <c r="E101" s="317"/>
      <c r="F101" s="317"/>
      <c r="G101" s="317"/>
    </row>
    <row r="102" spans="1:7" ht="18">
      <c r="A102" s="317"/>
      <c r="B102" s="317"/>
      <c r="C102" s="317"/>
      <c r="D102" s="317"/>
      <c r="E102" s="317"/>
      <c r="F102" s="317"/>
      <c r="G102" s="317"/>
    </row>
    <row r="103" spans="1:7" ht="18">
      <c r="A103" s="317"/>
      <c r="B103" s="317"/>
      <c r="C103" s="317"/>
      <c r="D103" s="317"/>
      <c r="E103" s="317"/>
      <c r="F103" s="317"/>
      <c r="G103" s="317"/>
    </row>
    <row r="104" spans="1:7" ht="18">
      <c r="A104" s="317"/>
      <c r="B104" s="317"/>
      <c r="C104" s="317"/>
      <c r="D104" s="317"/>
      <c r="E104" s="317"/>
      <c r="F104" s="317"/>
      <c r="G104" s="317"/>
    </row>
    <row r="105" spans="1:7" ht="18">
      <c r="A105" s="317"/>
      <c r="B105" s="317"/>
      <c r="C105" s="317"/>
      <c r="D105" s="317"/>
      <c r="E105" s="317"/>
      <c r="F105" s="317"/>
      <c r="G105" s="317"/>
    </row>
    <row r="106" spans="1:7" ht="18">
      <c r="A106" s="317"/>
      <c r="B106" s="317"/>
      <c r="C106" s="317"/>
      <c r="D106" s="317"/>
      <c r="E106" s="317"/>
      <c r="F106" s="317"/>
      <c r="G106" s="317"/>
    </row>
    <row r="107" spans="1:7" ht="18">
      <c r="A107" s="317"/>
      <c r="B107" s="317"/>
      <c r="C107" s="317"/>
      <c r="D107" s="317"/>
      <c r="E107" s="317"/>
      <c r="F107" s="317"/>
      <c r="G107" s="317"/>
    </row>
    <row r="108" spans="1:7" ht="18">
      <c r="A108" s="317"/>
      <c r="B108" s="317"/>
      <c r="C108" s="317"/>
      <c r="D108" s="317"/>
      <c r="E108" s="317"/>
      <c r="F108" s="317"/>
      <c r="G108" s="317"/>
    </row>
    <row r="109" spans="1:7" ht="18">
      <c r="A109" s="317"/>
      <c r="B109" s="317"/>
      <c r="C109" s="317"/>
      <c r="D109" s="317"/>
      <c r="E109" s="317"/>
      <c r="F109" s="317"/>
      <c r="G109" s="317"/>
    </row>
    <row r="110" spans="1:7" ht="18">
      <c r="A110" s="317"/>
      <c r="B110" s="317"/>
      <c r="C110" s="317"/>
      <c r="D110" s="317"/>
      <c r="E110" s="317"/>
      <c r="F110" s="317"/>
      <c r="G110" s="317"/>
    </row>
    <row r="111" spans="1:7" ht="18">
      <c r="A111" s="317"/>
      <c r="B111" s="317"/>
      <c r="C111" s="317"/>
      <c r="D111" s="317"/>
      <c r="E111" s="317"/>
      <c r="F111" s="317"/>
      <c r="G111" s="317"/>
    </row>
    <row r="112" spans="1:7" ht="18">
      <c r="A112" s="317"/>
      <c r="B112" s="317"/>
      <c r="C112" s="317"/>
      <c r="D112" s="317"/>
      <c r="E112" s="317"/>
      <c r="F112" s="317"/>
      <c r="G112" s="317"/>
    </row>
    <row r="113" spans="1:7" ht="18">
      <c r="A113" s="317"/>
      <c r="B113" s="317"/>
      <c r="C113" s="317"/>
      <c r="D113" s="317"/>
      <c r="E113" s="317"/>
      <c r="F113" s="317"/>
      <c r="G113" s="317"/>
    </row>
    <row r="114" spans="1:7" ht="18">
      <c r="A114" s="317"/>
      <c r="B114" s="317"/>
      <c r="C114" s="317"/>
      <c r="D114" s="317"/>
      <c r="E114" s="317"/>
      <c r="F114" s="317"/>
      <c r="G114" s="317"/>
    </row>
    <row r="115" spans="1:7" ht="18">
      <c r="A115" s="317"/>
      <c r="B115" s="317"/>
      <c r="C115" s="317"/>
      <c r="D115" s="317"/>
      <c r="E115" s="317"/>
      <c r="F115" s="317"/>
      <c r="G115" s="317"/>
    </row>
    <row r="116" spans="1:7" ht="18">
      <c r="A116" s="317"/>
      <c r="B116" s="317"/>
      <c r="C116" s="317"/>
      <c r="D116" s="317"/>
      <c r="E116" s="317"/>
      <c r="F116" s="317"/>
      <c r="G116" s="317"/>
    </row>
    <row r="117" spans="1:7" ht="18">
      <c r="A117" s="317"/>
      <c r="B117" s="317"/>
      <c r="C117" s="317"/>
      <c r="D117" s="317"/>
      <c r="E117" s="317"/>
      <c r="F117" s="317"/>
      <c r="G117" s="317"/>
    </row>
    <row r="118" spans="1:7" ht="18">
      <c r="A118" s="317"/>
      <c r="B118" s="317"/>
      <c r="C118" s="317"/>
      <c r="D118" s="317"/>
      <c r="E118" s="317"/>
      <c r="F118" s="317"/>
      <c r="G118" s="317"/>
    </row>
    <row r="119" spans="1:7" ht="18">
      <c r="A119" s="317"/>
      <c r="B119" s="317"/>
      <c r="C119" s="317"/>
      <c r="D119" s="317"/>
      <c r="E119" s="317"/>
      <c r="F119" s="317"/>
      <c r="G119" s="317"/>
    </row>
    <row r="120" spans="1:7" ht="18">
      <c r="A120" s="317"/>
      <c r="B120" s="317"/>
      <c r="C120" s="317"/>
      <c r="D120" s="317"/>
      <c r="E120" s="317"/>
      <c r="F120" s="317"/>
      <c r="G120" s="317"/>
    </row>
    <row r="121" spans="1:7" ht="18">
      <c r="A121" s="317"/>
      <c r="B121" s="317"/>
      <c r="C121" s="317"/>
      <c r="D121" s="317"/>
      <c r="E121" s="317"/>
      <c r="F121" s="317"/>
      <c r="G121" s="317"/>
    </row>
    <row r="122" spans="1:7" ht="18">
      <c r="A122" s="317"/>
      <c r="B122" s="317"/>
      <c r="C122" s="317"/>
      <c r="D122" s="317"/>
      <c r="E122" s="317"/>
      <c r="F122" s="317"/>
      <c r="G122" s="317"/>
    </row>
    <row r="123" spans="1:7" ht="18">
      <c r="A123" s="317"/>
      <c r="B123" s="317"/>
      <c r="C123" s="317"/>
      <c r="D123" s="317"/>
      <c r="E123" s="317"/>
      <c r="F123" s="317"/>
      <c r="G123" s="317"/>
    </row>
    <row r="124" spans="1:7" ht="18">
      <c r="A124" s="317"/>
      <c r="B124" s="317"/>
      <c r="C124" s="317"/>
      <c r="D124" s="317"/>
      <c r="E124" s="317"/>
      <c r="F124" s="317"/>
      <c r="G124" s="317"/>
    </row>
    <row r="125" spans="1:7" ht="18">
      <c r="A125" s="317"/>
      <c r="B125" s="317"/>
      <c r="C125" s="317"/>
      <c r="D125" s="317"/>
      <c r="E125" s="317"/>
      <c r="F125" s="317"/>
      <c r="G125" s="317"/>
    </row>
    <row r="126" spans="1:7" ht="18">
      <c r="A126" s="317"/>
      <c r="B126" s="317"/>
      <c r="C126" s="317"/>
      <c r="D126" s="317"/>
      <c r="E126" s="317"/>
      <c r="F126" s="317"/>
      <c r="G126" s="317"/>
    </row>
    <row r="127" spans="1:7" ht="18">
      <c r="A127" s="317"/>
      <c r="B127" s="317"/>
      <c r="C127" s="317"/>
      <c r="D127" s="317"/>
      <c r="E127" s="317"/>
      <c r="F127" s="317"/>
      <c r="G127" s="317"/>
    </row>
    <row r="128" spans="1:7" ht="18">
      <c r="A128" s="317"/>
      <c r="B128" s="317"/>
      <c r="C128" s="317"/>
      <c r="D128" s="317"/>
      <c r="E128" s="317"/>
      <c r="F128" s="317"/>
      <c r="G128" s="317"/>
    </row>
    <row r="129" spans="1:7" ht="18">
      <c r="A129" s="317"/>
      <c r="B129" s="317"/>
      <c r="C129" s="317"/>
      <c r="D129" s="317"/>
      <c r="E129" s="317"/>
      <c r="F129" s="317"/>
      <c r="G129" s="317"/>
    </row>
    <row r="130" spans="1:7" ht="18">
      <c r="A130" s="317"/>
      <c r="B130" s="317"/>
      <c r="C130" s="317"/>
      <c r="D130" s="317"/>
      <c r="E130" s="317"/>
      <c r="F130" s="317"/>
      <c r="G130" s="317"/>
    </row>
    <row r="131" spans="1:7" ht="18">
      <c r="A131" s="317"/>
      <c r="B131" s="317"/>
      <c r="C131" s="317"/>
      <c r="D131" s="317"/>
      <c r="E131" s="317"/>
      <c r="F131" s="317"/>
      <c r="G131" s="317"/>
    </row>
    <row r="132" spans="1:7" ht="18">
      <c r="A132" s="317"/>
      <c r="B132" s="317"/>
      <c r="C132" s="317"/>
      <c r="D132" s="317"/>
      <c r="E132" s="317"/>
      <c r="F132" s="317"/>
      <c r="G132" s="317"/>
    </row>
    <row r="133" spans="1:7" ht="18">
      <c r="A133" s="317"/>
      <c r="B133" s="317"/>
      <c r="C133" s="317"/>
      <c r="D133" s="317"/>
      <c r="E133" s="317"/>
      <c r="F133" s="317"/>
      <c r="G133" s="317"/>
    </row>
    <row r="134" spans="1:7" ht="18">
      <c r="A134" s="317"/>
      <c r="B134" s="317"/>
      <c r="C134" s="317"/>
      <c r="D134" s="317"/>
      <c r="E134" s="317"/>
      <c r="F134" s="317"/>
      <c r="G134" s="317"/>
    </row>
    <row r="135" spans="1:7" ht="18">
      <c r="A135" s="317"/>
      <c r="B135" s="317"/>
      <c r="C135" s="317"/>
      <c r="D135" s="317"/>
      <c r="E135" s="317"/>
      <c r="F135" s="317"/>
      <c r="G135" s="317"/>
    </row>
    <row r="136" spans="1:7" ht="18">
      <c r="A136" s="317"/>
      <c r="B136" s="317"/>
      <c r="C136" s="317"/>
      <c r="D136" s="317"/>
      <c r="E136" s="317"/>
      <c r="F136" s="317"/>
      <c r="G136" s="317"/>
    </row>
    <row r="137" spans="1:7" ht="18">
      <c r="A137" s="317"/>
      <c r="B137" s="317"/>
      <c r="C137" s="317"/>
      <c r="D137" s="317"/>
      <c r="E137" s="317"/>
      <c r="F137" s="317"/>
      <c r="G137" s="317"/>
    </row>
    <row r="138" spans="1:7" ht="18">
      <c r="A138" s="317"/>
      <c r="B138" s="317"/>
      <c r="C138" s="317"/>
      <c r="D138" s="317"/>
      <c r="E138" s="317"/>
      <c r="F138" s="317"/>
      <c r="G138" s="317"/>
    </row>
    <row r="139" spans="1:7" ht="18">
      <c r="A139" s="317"/>
      <c r="B139" s="317"/>
      <c r="C139" s="317"/>
      <c r="D139" s="317"/>
      <c r="E139" s="317"/>
      <c r="F139" s="317"/>
      <c r="G139" s="317"/>
    </row>
    <row r="140" spans="1:7" ht="18">
      <c r="A140" s="317"/>
      <c r="B140" s="317"/>
      <c r="C140" s="317"/>
      <c r="D140" s="317"/>
      <c r="E140" s="317"/>
      <c r="F140" s="317"/>
      <c r="G140" s="317"/>
    </row>
    <row r="141" spans="1:7" ht="18">
      <c r="A141" s="317"/>
      <c r="B141" s="317"/>
      <c r="C141" s="317"/>
      <c r="D141" s="317"/>
      <c r="E141" s="317"/>
      <c r="F141" s="317"/>
      <c r="G141" s="317"/>
    </row>
    <row r="142" spans="1:7" ht="18">
      <c r="A142" s="317"/>
      <c r="B142" s="317"/>
      <c r="C142" s="317"/>
      <c r="D142" s="317"/>
      <c r="E142" s="317"/>
      <c r="F142" s="317"/>
      <c r="G142" s="317"/>
    </row>
    <row r="143" spans="1:7" ht="18">
      <c r="A143" s="317"/>
      <c r="B143" s="317"/>
      <c r="C143" s="317"/>
      <c r="D143" s="317"/>
      <c r="E143" s="317"/>
      <c r="F143" s="317"/>
      <c r="G143" s="317"/>
    </row>
    <row r="144" spans="1:7" ht="18">
      <c r="A144" s="317"/>
      <c r="B144" s="317"/>
      <c r="C144" s="317"/>
      <c r="D144" s="317"/>
      <c r="E144" s="317"/>
      <c r="F144" s="317"/>
      <c r="G144" s="317"/>
    </row>
    <row r="145" spans="1:7" ht="18">
      <c r="A145" s="317"/>
      <c r="B145" s="317"/>
      <c r="C145" s="317"/>
      <c r="D145" s="317"/>
      <c r="E145" s="317"/>
      <c r="F145" s="317"/>
      <c r="G145" s="317"/>
    </row>
    <row r="146" spans="1:7" ht="18">
      <c r="A146" s="317"/>
      <c r="B146" s="317"/>
      <c r="C146" s="317"/>
      <c r="D146" s="317"/>
      <c r="E146" s="317"/>
      <c r="F146" s="317"/>
      <c r="G146" s="317"/>
    </row>
    <row r="147" spans="1:7" ht="18">
      <c r="A147" s="317"/>
      <c r="B147" s="317"/>
      <c r="C147" s="317"/>
      <c r="D147" s="317"/>
      <c r="E147" s="317"/>
      <c r="F147" s="317"/>
      <c r="G147" s="317"/>
    </row>
    <row r="148" spans="1:7" ht="18">
      <c r="A148" s="317"/>
      <c r="B148" s="317"/>
      <c r="C148" s="317"/>
      <c r="D148" s="317"/>
      <c r="E148" s="317"/>
      <c r="F148" s="317"/>
      <c r="G148" s="317"/>
    </row>
    <row r="149" spans="1:7" ht="18">
      <c r="A149" s="317"/>
      <c r="B149" s="317"/>
      <c r="C149" s="317"/>
      <c r="D149" s="317"/>
      <c r="E149" s="317"/>
      <c r="F149" s="317"/>
      <c r="G149" s="317"/>
    </row>
    <row r="150" spans="1:7" ht="18">
      <c r="A150" s="317"/>
      <c r="B150" s="317"/>
      <c r="C150" s="317"/>
      <c r="D150" s="317"/>
      <c r="E150" s="317"/>
      <c r="F150" s="317"/>
      <c r="G150" s="317"/>
    </row>
    <row r="151" spans="1:7" ht="18">
      <c r="A151" s="317"/>
      <c r="B151" s="317"/>
      <c r="C151" s="317"/>
      <c r="D151" s="317"/>
      <c r="E151" s="317"/>
      <c r="F151" s="317"/>
      <c r="G151" s="317"/>
    </row>
    <row r="152" spans="1:7" ht="18">
      <c r="A152" s="317"/>
      <c r="B152" s="317"/>
      <c r="C152" s="317"/>
      <c r="D152" s="317"/>
      <c r="E152" s="317"/>
      <c r="F152" s="317"/>
      <c r="G152" s="317"/>
    </row>
    <row r="153" spans="1:7" ht="18">
      <c r="A153" s="317"/>
      <c r="B153" s="317"/>
      <c r="C153" s="317"/>
      <c r="D153" s="317"/>
      <c r="E153" s="317"/>
      <c r="F153" s="317"/>
      <c r="G153" s="317"/>
    </row>
    <row r="154" spans="1:7" ht="18">
      <c r="A154" s="317"/>
      <c r="B154" s="317"/>
      <c r="C154" s="317"/>
      <c r="D154" s="317"/>
      <c r="E154" s="317"/>
      <c r="F154" s="317"/>
      <c r="G154" s="317"/>
    </row>
    <row r="155" spans="1:7" ht="18">
      <c r="A155" s="317"/>
      <c r="B155" s="317"/>
      <c r="C155" s="317"/>
      <c r="D155" s="317"/>
      <c r="E155" s="317"/>
      <c r="F155" s="317"/>
      <c r="G155" s="317"/>
    </row>
    <row r="156" spans="1:7" ht="18">
      <c r="A156" s="317"/>
      <c r="B156" s="317"/>
      <c r="C156" s="317"/>
      <c r="D156" s="317"/>
      <c r="E156" s="317"/>
      <c r="F156" s="317"/>
      <c r="G156" s="317"/>
    </row>
    <row r="157" spans="1:7" ht="18">
      <c r="A157" s="317"/>
      <c r="B157" s="317"/>
      <c r="C157" s="317"/>
      <c r="D157" s="317"/>
      <c r="E157" s="317"/>
      <c r="F157" s="317"/>
      <c r="G157" s="317"/>
    </row>
    <row r="158" spans="1:7" ht="18">
      <c r="A158" s="317"/>
      <c r="B158" s="317"/>
      <c r="C158" s="317"/>
      <c r="D158" s="317"/>
      <c r="E158" s="317"/>
      <c r="F158" s="317"/>
      <c r="G158" s="317"/>
    </row>
    <row r="159" spans="1:7" ht="18">
      <c r="A159" s="317"/>
      <c r="B159" s="317"/>
      <c r="C159" s="317"/>
      <c r="D159" s="317"/>
      <c r="E159" s="317"/>
      <c r="F159" s="317"/>
      <c r="G159" s="317"/>
    </row>
    <row r="160" spans="1:7" ht="18">
      <c r="A160" s="317"/>
      <c r="B160" s="317"/>
      <c r="C160" s="317"/>
      <c r="D160" s="317"/>
      <c r="E160" s="317"/>
      <c r="F160" s="317"/>
      <c r="G160" s="317"/>
    </row>
    <row r="161" spans="1:7" ht="18">
      <c r="A161" s="317"/>
      <c r="B161" s="317"/>
      <c r="C161" s="317"/>
      <c r="D161" s="317"/>
      <c r="E161" s="317"/>
      <c r="F161" s="317"/>
      <c r="G161" s="317"/>
    </row>
    <row r="162" spans="1:7" ht="18">
      <c r="A162" s="317"/>
      <c r="B162" s="317"/>
      <c r="C162" s="317"/>
      <c r="D162" s="317"/>
      <c r="E162" s="317"/>
      <c r="F162" s="317"/>
      <c r="G162" s="317"/>
    </row>
    <row r="163" spans="1:7" ht="18">
      <c r="A163" s="317"/>
      <c r="B163" s="317"/>
      <c r="C163" s="317"/>
      <c r="D163" s="317"/>
      <c r="E163" s="317"/>
      <c r="F163" s="317"/>
      <c r="G163" s="317"/>
    </row>
    <row r="164" spans="1:7" ht="18">
      <c r="A164" s="317"/>
      <c r="B164" s="317"/>
      <c r="C164" s="317"/>
      <c r="D164" s="317"/>
      <c r="E164" s="317"/>
      <c r="F164" s="317"/>
      <c r="G164" s="317"/>
    </row>
    <row r="165" spans="1:7" ht="18">
      <c r="A165" s="317"/>
      <c r="B165" s="317"/>
      <c r="C165" s="317"/>
      <c r="D165" s="317"/>
      <c r="E165" s="317"/>
      <c r="F165" s="317"/>
      <c r="G165" s="317"/>
    </row>
    <row r="166" spans="1:7" ht="18">
      <c r="A166" s="317"/>
      <c r="B166" s="317"/>
      <c r="C166" s="317"/>
      <c r="D166" s="317"/>
      <c r="E166" s="317"/>
      <c r="F166" s="317"/>
      <c r="G166" s="317"/>
    </row>
    <row r="167" spans="1:7" ht="18">
      <c r="A167" s="317"/>
      <c r="B167" s="317"/>
      <c r="C167" s="317"/>
      <c r="D167" s="317"/>
      <c r="E167" s="317"/>
      <c r="F167" s="317"/>
      <c r="G167" s="317"/>
    </row>
    <row r="168" spans="1:7" ht="18">
      <c r="A168" s="317"/>
      <c r="B168" s="317"/>
      <c r="C168" s="317"/>
      <c r="D168" s="317"/>
      <c r="E168" s="317"/>
      <c r="F168" s="317"/>
      <c r="G168" s="317"/>
    </row>
    <row r="169" spans="1:7" ht="18">
      <c r="A169" s="317"/>
      <c r="B169" s="317"/>
      <c r="C169" s="317"/>
      <c r="D169" s="317"/>
      <c r="E169" s="317"/>
      <c r="F169" s="317"/>
      <c r="G169" s="317"/>
    </row>
    <row r="170" spans="1:7" ht="18">
      <c r="A170" s="317"/>
      <c r="B170" s="317"/>
      <c r="C170" s="317"/>
      <c r="D170" s="317"/>
      <c r="E170" s="317"/>
      <c r="F170" s="317"/>
      <c r="G170" s="317"/>
    </row>
    <row r="171" spans="1:7" ht="18">
      <c r="A171" s="317"/>
      <c r="B171" s="317"/>
      <c r="C171" s="317"/>
      <c r="D171" s="317"/>
      <c r="E171" s="317"/>
      <c r="F171" s="317"/>
      <c r="G171" s="317"/>
    </row>
    <row r="172" spans="1:7" ht="18">
      <c r="A172" s="317"/>
      <c r="B172" s="317"/>
      <c r="C172" s="317"/>
      <c r="D172" s="317"/>
      <c r="E172" s="317"/>
      <c r="F172" s="317"/>
      <c r="G172" s="317"/>
    </row>
    <row r="173" spans="1:7" ht="18">
      <c r="A173" s="317"/>
      <c r="B173" s="317"/>
      <c r="C173" s="317"/>
      <c r="D173" s="317"/>
      <c r="E173" s="317"/>
      <c r="F173" s="317"/>
      <c r="G173" s="317"/>
    </row>
    <row r="174" spans="1:7" ht="18">
      <c r="A174" s="317"/>
      <c r="B174" s="317"/>
      <c r="C174" s="317"/>
      <c r="D174" s="317"/>
      <c r="E174" s="317"/>
      <c r="F174" s="317"/>
      <c r="G174" s="317"/>
    </row>
    <row r="175" spans="1:7" ht="18">
      <c r="A175" s="317"/>
      <c r="B175" s="317"/>
      <c r="C175" s="317"/>
      <c r="D175" s="317"/>
      <c r="E175" s="317"/>
      <c r="F175" s="317"/>
      <c r="G175" s="317"/>
    </row>
    <row r="176" spans="1:7" ht="18">
      <c r="A176" s="317"/>
      <c r="B176" s="317"/>
      <c r="C176" s="317"/>
      <c r="D176" s="317"/>
      <c r="E176" s="317"/>
      <c r="F176" s="317"/>
      <c r="G176" s="317"/>
    </row>
    <row r="177" spans="1:7" ht="18">
      <c r="A177" s="317"/>
      <c r="B177" s="317"/>
      <c r="C177" s="317"/>
      <c r="D177" s="317"/>
      <c r="E177" s="317"/>
      <c r="F177" s="317"/>
      <c r="G177" s="317"/>
    </row>
    <row r="178" spans="1:7" ht="18">
      <c r="A178" s="317"/>
      <c r="B178" s="317"/>
      <c r="C178" s="317"/>
      <c r="D178" s="317"/>
      <c r="E178" s="317"/>
      <c r="F178" s="317"/>
      <c r="G178" s="317"/>
    </row>
    <row r="179" spans="1:7" ht="18">
      <c r="A179" s="317"/>
      <c r="B179" s="317"/>
      <c r="C179" s="317"/>
      <c r="D179" s="317"/>
      <c r="E179" s="317"/>
      <c r="F179" s="317"/>
      <c r="G179" s="317"/>
    </row>
    <row r="180" spans="1:7" ht="18">
      <c r="A180" s="317"/>
      <c r="B180" s="317"/>
      <c r="C180" s="317"/>
      <c r="D180" s="317"/>
      <c r="E180" s="317"/>
      <c r="F180" s="317"/>
      <c r="G180" s="317"/>
    </row>
    <row r="181" spans="1:7" ht="18">
      <c r="A181" s="317"/>
      <c r="B181" s="317"/>
      <c r="C181" s="317"/>
      <c r="D181" s="317"/>
      <c r="E181" s="317"/>
      <c r="F181" s="317"/>
      <c r="G181" s="317"/>
    </row>
    <row r="182" spans="1:7" ht="18">
      <c r="A182" s="317"/>
      <c r="B182" s="317"/>
      <c r="C182" s="317"/>
      <c r="D182" s="317"/>
      <c r="E182" s="317"/>
      <c r="F182" s="317"/>
      <c r="G182" s="317"/>
    </row>
    <row r="183" spans="1:7" ht="18">
      <c r="A183" s="317"/>
      <c r="B183" s="317"/>
      <c r="C183" s="317"/>
      <c r="D183" s="317"/>
      <c r="E183" s="317"/>
      <c r="F183" s="317"/>
      <c r="G183" s="317"/>
    </row>
    <row r="184" spans="1:7" ht="18">
      <c r="A184" s="317"/>
      <c r="B184" s="317"/>
      <c r="C184" s="317"/>
      <c r="D184" s="317"/>
      <c r="E184" s="317"/>
      <c r="F184" s="317"/>
      <c r="G184" s="317"/>
    </row>
    <row r="185" spans="1:7" ht="18">
      <c r="A185" s="317"/>
      <c r="B185" s="317"/>
      <c r="C185" s="317"/>
      <c r="D185" s="317"/>
      <c r="E185" s="317"/>
      <c r="F185" s="317"/>
      <c r="G185" s="317"/>
    </row>
    <row r="186" spans="1:7" ht="18">
      <c r="A186" s="317"/>
      <c r="B186" s="317"/>
      <c r="C186" s="317"/>
      <c r="D186" s="317"/>
      <c r="E186" s="317"/>
      <c r="F186" s="317"/>
      <c r="G186" s="317"/>
    </row>
    <row r="187" spans="1:7" ht="18">
      <c r="A187" s="317"/>
      <c r="B187" s="317"/>
      <c r="C187" s="317"/>
      <c r="D187" s="317"/>
      <c r="E187" s="317"/>
      <c r="F187" s="317"/>
      <c r="G187" s="317"/>
    </row>
    <row r="188" spans="1:7" ht="18">
      <c r="A188" s="317"/>
      <c r="B188" s="317"/>
      <c r="C188" s="317"/>
      <c r="D188" s="317"/>
      <c r="E188" s="317"/>
      <c r="F188" s="317"/>
      <c r="G188" s="317"/>
    </row>
    <row r="189" spans="1:7" ht="18">
      <c r="A189" s="317"/>
      <c r="B189" s="317"/>
      <c r="C189" s="317"/>
      <c r="D189" s="317"/>
      <c r="E189" s="317"/>
      <c r="F189" s="317"/>
      <c r="G189" s="317"/>
    </row>
    <row r="190" spans="1:7" ht="18">
      <c r="A190" s="317"/>
      <c r="B190" s="317"/>
      <c r="C190" s="317"/>
      <c r="D190" s="317"/>
      <c r="E190" s="317"/>
      <c r="F190" s="317"/>
      <c r="G190" s="317"/>
    </row>
    <row r="191" spans="1:7" ht="18">
      <c r="A191" s="317"/>
      <c r="B191" s="317"/>
      <c r="C191" s="317"/>
      <c r="D191" s="317"/>
      <c r="E191" s="317"/>
      <c r="F191" s="317"/>
      <c r="G191" s="317"/>
    </row>
    <row r="192" spans="1:7" ht="18">
      <c r="A192" s="317"/>
      <c r="B192" s="317"/>
      <c r="C192" s="317"/>
      <c r="D192" s="317"/>
      <c r="E192" s="317"/>
      <c r="F192" s="317"/>
      <c r="G192" s="317"/>
    </row>
    <row r="193" spans="1:7" ht="18">
      <c r="A193" s="317"/>
      <c r="B193" s="317"/>
      <c r="C193" s="317"/>
      <c r="D193" s="317"/>
      <c r="E193" s="317"/>
      <c r="F193" s="317"/>
      <c r="G193" s="317"/>
    </row>
    <row r="194" spans="1:7" ht="18">
      <c r="A194" s="317"/>
      <c r="B194" s="317"/>
      <c r="C194" s="317"/>
      <c r="D194" s="317"/>
      <c r="E194" s="317"/>
      <c r="F194" s="317"/>
      <c r="G194" s="317"/>
    </row>
    <row r="195" spans="1:7" ht="18">
      <c r="A195" s="317"/>
      <c r="B195" s="317"/>
      <c r="C195" s="317"/>
      <c r="D195" s="317"/>
      <c r="E195" s="317"/>
      <c r="F195" s="317"/>
      <c r="G195" s="317"/>
    </row>
    <row r="196" spans="1:7" ht="18">
      <c r="A196" s="317"/>
      <c r="B196" s="317"/>
      <c r="C196" s="317"/>
      <c r="D196" s="317"/>
      <c r="E196" s="317"/>
      <c r="F196" s="317"/>
      <c r="G196" s="317"/>
    </row>
    <row r="197" spans="1:7" ht="18">
      <c r="A197" s="317"/>
      <c r="B197" s="317"/>
      <c r="C197" s="317"/>
      <c r="D197" s="317"/>
      <c r="E197" s="317"/>
      <c r="F197" s="317"/>
      <c r="G197" s="317"/>
    </row>
    <row r="198" spans="1:7" ht="18">
      <c r="A198" s="317"/>
      <c r="B198" s="317"/>
      <c r="C198" s="317"/>
      <c r="D198" s="317"/>
      <c r="E198" s="317"/>
      <c r="F198" s="317"/>
      <c r="G198" s="317"/>
    </row>
    <row r="199" spans="1:7" ht="18">
      <c r="A199" s="317"/>
      <c r="B199" s="317"/>
      <c r="C199" s="317"/>
      <c r="D199" s="317"/>
      <c r="E199" s="317"/>
      <c r="F199" s="317"/>
      <c r="G199" s="317"/>
    </row>
    <row r="200" spans="1:7" ht="18">
      <c r="A200" s="317"/>
      <c r="B200" s="317"/>
      <c r="C200" s="317"/>
      <c r="D200" s="317"/>
      <c r="E200" s="317"/>
      <c r="F200" s="317"/>
      <c r="G200" s="317"/>
    </row>
    <row r="201" spans="1:7" ht="18">
      <c r="A201" s="317"/>
      <c r="B201" s="317"/>
      <c r="C201" s="317"/>
      <c r="D201" s="317"/>
      <c r="E201" s="317"/>
      <c r="F201" s="317"/>
      <c r="G201" s="317"/>
    </row>
    <row r="202" spans="1:7" ht="18">
      <c r="A202" s="317"/>
      <c r="B202" s="317"/>
      <c r="C202" s="317"/>
      <c r="D202" s="317"/>
      <c r="E202" s="317"/>
      <c r="F202" s="317"/>
      <c r="G202" s="317"/>
    </row>
    <row r="203" spans="1:7" ht="18">
      <c r="A203" s="317"/>
      <c r="B203" s="317"/>
      <c r="C203" s="317"/>
      <c r="D203" s="317"/>
      <c r="E203" s="317"/>
      <c r="F203" s="317"/>
      <c r="G203" s="317"/>
    </row>
    <row r="204" spans="1:7" ht="18">
      <c r="A204" s="317"/>
      <c r="B204" s="317"/>
      <c r="C204" s="317"/>
      <c r="D204" s="317"/>
      <c r="E204" s="317"/>
      <c r="F204" s="317"/>
      <c r="G204" s="317"/>
    </row>
    <row r="205" spans="1:7" ht="18">
      <c r="A205" s="317"/>
      <c r="B205" s="317"/>
      <c r="C205" s="317"/>
      <c r="D205" s="317"/>
      <c r="E205" s="317"/>
      <c r="F205" s="317"/>
      <c r="G205" s="317"/>
    </row>
    <row r="206" spans="1:7" ht="18">
      <c r="A206" s="317"/>
      <c r="B206" s="317"/>
      <c r="C206" s="317"/>
      <c r="D206" s="317"/>
      <c r="E206" s="317"/>
      <c r="F206" s="317"/>
      <c r="G206" s="317"/>
    </row>
    <row r="207" spans="1:7" ht="18">
      <c r="A207" s="317"/>
      <c r="B207" s="317"/>
      <c r="C207" s="317"/>
      <c r="D207" s="317"/>
      <c r="E207" s="317"/>
      <c r="F207" s="317"/>
      <c r="G207" s="317"/>
    </row>
    <row r="208" spans="1:7" ht="18">
      <c r="A208" s="317"/>
      <c r="B208" s="317"/>
      <c r="C208" s="317"/>
      <c r="D208" s="317"/>
      <c r="E208" s="317"/>
      <c r="F208" s="317"/>
      <c r="G208" s="317"/>
    </row>
    <row r="209" spans="1:7" ht="18">
      <c r="A209" s="317"/>
      <c r="B209" s="317"/>
      <c r="C209" s="317"/>
      <c r="D209" s="317"/>
      <c r="E209" s="317"/>
      <c r="F209" s="317"/>
      <c r="G209" s="317"/>
    </row>
    <row r="210" spans="1:7" ht="18">
      <c r="A210" s="317"/>
      <c r="B210" s="317"/>
      <c r="C210" s="317"/>
      <c r="D210" s="317"/>
      <c r="E210" s="317"/>
      <c r="F210" s="317"/>
      <c r="G210" s="317"/>
    </row>
    <row r="211" spans="1:7" ht="18">
      <c r="A211" s="317"/>
      <c r="B211" s="317"/>
      <c r="C211" s="317"/>
      <c r="D211" s="317"/>
      <c r="E211" s="317"/>
      <c r="F211" s="317"/>
      <c r="G211" s="317"/>
    </row>
    <row r="212" spans="1:7" ht="18">
      <c r="A212" s="317"/>
      <c r="B212" s="317"/>
      <c r="C212" s="317"/>
      <c r="D212" s="317"/>
      <c r="E212" s="317"/>
      <c r="F212" s="317"/>
      <c r="G212" s="317"/>
    </row>
    <row r="213" spans="1:7" ht="18">
      <c r="A213" s="317"/>
      <c r="B213" s="317"/>
      <c r="C213" s="317"/>
      <c r="D213" s="317"/>
      <c r="E213" s="317"/>
      <c r="F213" s="317"/>
      <c r="G213" s="317"/>
    </row>
    <row r="214" spans="1:7" ht="18">
      <c r="A214" s="317"/>
      <c r="B214" s="317"/>
      <c r="C214" s="317"/>
      <c r="D214" s="317"/>
      <c r="E214" s="317"/>
      <c r="F214" s="317"/>
      <c r="G214" s="317"/>
    </row>
    <row r="215" spans="1:7" ht="18">
      <c r="A215" s="317"/>
      <c r="B215" s="317"/>
      <c r="C215" s="317"/>
      <c r="D215" s="317"/>
      <c r="E215" s="317"/>
      <c r="F215" s="317"/>
      <c r="G215" s="317"/>
    </row>
    <row r="216" spans="1:7" ht="18">
      <c r="A216" s="317"/>
      <c r="B216" s="317"/>
      <c r="C216" s="317"/>
      <c r="D216" s="317"/>
      <c r="E216" s="317"/>
      <c r="F216" s="317"/>
      <c r="G216" s="317"/>
    </row>
    <row r="217" spans="1:7" ht="18">
      <c r="A217" s="317"/>
      <c r="B217" s="317"/>
      <c r="C217" s="317"/>
      <c r="D217" s="317"/>
      <c r="E217" s="317"/>
      <c r="F217" s="317"/>
      <c r="G217" s="317"/>
    </row>
    <row r="218" spans="1:7" ht="18">
      <c r="A218" s="317"/>
      <c r="B218" s="317"/>
      <c r="C218" s="317"/>
      <c r="D218" s="317"/>
      <c r="E218" s="317"/>
      <c r="F218" s="317"/>
      <c r="G218" s="317"/>
    </row>
    <row r="219" spans="1:7" ht="18">
      <c r="A219" s="317"/>
      <c r="B219" s="317"/>
      <c r="C219" s="317"/>
      <c r="D219" s="317"/>
      <c r="E219" s="317"/>
      <c r="F219" s="317"/>
      <c r="G219" s="317"/>
    </row>
    <row r="220" spans="1:7" ht="18">
      <c r="A220" s="317"/>
      <c r="B220" s="317"/>
      <c r="C220" s="317"/>
      <c r="D220" s="317"/>
      <c r="E220" s="317"/>
      <c r="F220" s="317"/>
      <c r="G220" s="317"/>
    </row>
    <row r="221" spans="1:7" ht="18">
      <c r="A221" s="317"/>
      <c r="B221" s="317"/>
      <c r="C221" s="317"/>
      <c r="D221" s="317"/>
      <c r="E221" s="317"/>
      <c r="F221" s="317"/>
      <c r="G221" s="317"/>
    </row>
    <row r="222" spans="1:7" ht="18">
      <c r="A222" s="317"/>
      <c r="B222" s="317"/>
      <c r="C222" s="317"/>
      <c r="D222" s="317"/>
      <c r="E222" s="317"/>
      <c r="F222" s="317"/>
      <c r="G222" s="317"/>
    </row>
    <row r="223" spans="1:7" ht="18">
      <c r="A223" s="317"/>
      <c r="B223" s="317"/>
      <c r="C223" s="317"/>
      <c r="D223" s="317"/>
      <c r="E223" s="317"/>
      <c r="F223" s="317"/>
      <c r="G223" s="317"/>
    </row>
    <row r="224" spans="1:7" ht="18">
      <c r="A224" s="317"/>
      <c r="B224" s="317"/>
      <c r="C224" s="317"/>
      <c r="D224" s="317"/>
      <c r="E224" s="317"/>
      <c r="F224" s="317"/>
      <c r="G224" s="317"/>
    </row>
    <row r="225" spans="1:7" ht="18">
      <c r="A225" s="317"/>
      <c r="B225" s="317"/>
      <c r="C225" s="317"/>
      <c r="D225" s="317"/>
      <c r="E225" s="317"/>
      <c r="F225" s="317"/>
      <c r="G225" s="317"/>
    </row>
    <row r="226" spans="1:7" ht="18">
      <c r="A226" s="317"/>
      <c r="B226" s="317"/>
      <c r="C226" s="317"/>
      <c r="D226" s="317"/>
      <c r="E226" s="317"/>
      <c r="F226" s="317"/>
      <c r="G226" s="317"/>
    </row>
    <row r="227" spans="1:7" ht="18">
      <c r="A227" s="317"/>
      <c r="B227" s="317"/>
      <c r="C227" s="317"/>
      <c r="D227" s="317"/>
      <c r="E227" s="317"/>
      <c r="F227" s="317"/>
      <c r="G227" s="317"/>
    </row>
    <row r="228" spans="1:7" ht="18">
      <c r="A228" s="317"/>
      <c r="B228" s="317"/>
      <c r="C228" s="317"/>
      <c r="D228" s="317"/>
      <c r="E228" s="317"/>
      <c r="F228" s="317"/>
      <c r="G228" s="317"/>
    </row>
    <row r="229" spans="1:7" ht="18">
      <c r="A229" s="317"/>
      <c r="B229" s="317"/>
      <c r="C229" s="317"/>
      <c r="D229" s="317"/>
      <c r="E229" s="317"/>
      <c r="F229" s="317"/>
      <c r="G229" s="317"/>
    </row>
    <row r="230" spans="1:7" ht="18">
      <c r="A230" s="317"/>
      <c r="B230" s="317"/>
      <c r="C230" s="317"/>
      <c r="D230" s="317"/>
      <c r="E230" s="317"/>
      <c r="F230" s="317"/>
      <c r="G230" s="317"/>
    </row>
    <row r="231" spans="1:7" ht="18">
      <c r="A231" s="317"/>
      <c r="B231" s="317"/>
      <c r="C231" s="317"/>
      <c r="D231" s="317"/>
      <c r="E231" s="317"/>
      <c r="F231" s="317"/>
      <c r="G231" s="317"/>
    </row>
    <row r="232" spans="1:7" ht="18">
      <c r="A232" s="317"/>
      <c r="B232" s="317"/>
      <c r="C232" s="317"/>
      <c r="D232" s="317"/>
      <c r="E232" s="317"/>
      <c r="F232" s="317"/>
      <c r="G232" s="317"/>
    </row>
    <row r="233" spans="1:7" ht="18">
      <c r="A233" s="317"/>
      <c r="B233" s="317"/>
      <c r="C233" s="317"/>
      <c r="D233" s="317"/>
      <c r="E233" s="317"/>
      <c r="F233" s="317"/>
      <c r="G233" s="317"/>
    </row>
    <row r="234" spans="1:7" ht="18">
      <c r="A234" s="317"/>
      <c r="B234" s="317"/>
      <c r="C234" s="317"/>
      <c r="D234" s="317"/>
      <c r="E234" s="317"/>
      <c r="F234" s="317"/>
      <c r="G234" s="317"/>
    </row>
    <row r="235" spans="1:7" ht="18">
      <c r="A235" s="317"/>
      <c r="B235" s="317"/>
      <c r="C235" s="317"/>
      <c r="D235" s="317"/>
      <c r="E235" s="317"/>
      <c r="F235" s="317"/>
      <c r="G235" s="317"/>
    </row>
    <row r="236" spans="1:7" ht="18">
      <c r="A236" s="317"/>
      <c r="B236" s="317"/>
      <c r="C236" s="317"/>
      <c r="D236" s="317"/>
      <c r="E236" s="317"/>
      <c r="F236" s="317"/>
      <c r="G236" s="317"/>
    </row>
    <row r="237" spans="1:7" ht="18">
      <c r="A237" s="317"/>
      <c r="B237" s="317"/>
      <c r="C237" s="317"/>
      <c r="D237" s="317"/>
      <c r="E237" s="317"/>
      <c r="F237" s="317"/>
      <c r="G237" s="317"/>
    </row>
    <row r="238" spans="1:7" ht="18">
      <c r="A238" s="317"/>
      <c r="B238" s="317"/>
      <c r="C238" s="317"/>
      <c r="D238" s="317"/>
      <c r="E238" s="317"/>
      <c r="F238" s="317"/>
      <c r="G238" s="317"/>
    </row>
    <row r="239" spans="1:7">
      <c r="A239" s="377"/>
      <c r="B239" s="377"/>
      <c r="C239" s="377"/>
      <c r="D239" s="377"/>
      <c r="E239" s="377"/>
      <c r="F239" s="377"/>
      <c r="G239" s="377"/>
    </row>
    <row r="240" spans="1:7">
      <c r="A240" s="377"/>
      <c r="B240" s="377"/>
      <c r="C240" s="377"/>
      <c r="D240" s="377"/>
      <c r="E240" s="377"/>
      <c r="F240" s="377"/>
      <c r="G240" s="377"/>
    </row>
    <row r="241" spans="1:7">
      <c r="A241" s="377"/>
      <c r="B241" s="377"/>
      <c r="C241" s="377"/>
      <c r="D241" s="377"/>
      <c r="E241" s="377"/>
      <c r="F241" s="377"/>
      <c r="G241" s="377"/>
    </row>
    <row r="242" spans="1:7">
      <c r="A242" s="377"/>
      <c r="B242" s="377"/>
      <c r="C242" s="377"/>
      <c r="D242" s="377"/>
      <c r="E242" s="377"/>
      <c r="F242" s="377"/>
      <c r="G242" s="377"/>
    </row>
    <row r="243" spans="1:7">
      <c r="A243" s="377"/>
      <c r="B243" s="377"/>
      <c r="C243" s="377"/>
      <c r="D243" s="377"/>
      <c r="E243" s="377"/>
      <c r="F243" s="377"/>
      <c r="G243" s="377"/>
    </row>
    <row r="244" spans="1:7">
      <c r="A244" s="377"/>
      <c r="B244" s="377"/>
      <c r="C244" s="377"/>
      <c r="D244" s="377"/>
      <c r="E244" s="377"/>
      <c r="F244" s="377"/>
      <c r="G244" s="377"/>
    </row>
    <row r="245" spans="1:7">
      <c r="A245" s="377"/>
      <c r="B245" s="377"/>
      <c r="C245" s="377"/>
      <c r="D245" s="377"/>
      <c r="E245" s="377"/>
      <c r="F245" s="377"/>
      <c r="G245" s="377"/>
    </row>
    <row r="246" spans="1:7">
      <c r="A246" s="377"/>
      <c r="B246" s="377"/>
      <c r="C246" s="377"/>
      <c r="D246" s="377"/>
      <c r="E246" s="377"/>
      <c r="F246" s="377"/>
      <c r="G246" s="377"/>
    </row>
    <row r="247" spans="1:7">
      <c r="A247" s="377"/>
      <c r="B247" s="377"/>
      <c r="C247" s="377"/>
      <c r="D247" s="377"/>
      <c r="E247" s="377"/>
      <c r="F247" s="377"/>
      <c r="G247" s="377"/>
    </row>
    <row r="248" spans="1:7">
      <c r="A248" s="377"/>
      <c r="B248" s="377"/>
      <c r="C248" s="377"/>
      <c r="D248" s="377"/>
      <c r="E248" s="377"/>
      <c r="F248" s="377"/>
      <c r="G248" s="377"/>
    </row>
    <row r="249" spans="1:7">
      <c r="A249" s="377"/>
      <c r="B249" s="377"/>
      <c r="C249" s="377"/>
      <c r="D249" s="377"/>
      <c r="E249" s="377"/>
      <c r="F249" s="377"/>
      <c r="G249" s="377"/>
    </row>
    <row r="250" spans="1:7">
      <c r="A250" s="377"/>
      <c r="B250" s="377"/>
      <c r="C250" s="377"/>
      <c r="D250" s="377"/>
      <c r="E250" s="377"/>
      <c r="F250" s="377"/>
      <c r="G250" s="377"/>
    </row>
    <row r="251" spans="1:7">
      <c r="A251" s="377"/>
      <c r="B251" s="377"/>
      <c r="C251" s="377"/>
      <c r="D251" s="377"/>
      <c r="E251" s="377"/>
      <c r="F251" s="377"/>
      <c r="G251" s="377"/>
    </row>
    <row r="252" spans="1:7">
      <c r="A252" s="377"/>
      <c r="B252" s="377"/>
      <c r="C252" s="377"/>
      <c r="D252" s="377"/>
      <c r="E252" s="377"/>
      <c r="F252" s="377"/>
      <c r="G252" s="377"/>
    </row>
    <row r="253" spans="1:7">
      <c r="A253" s="377"/>
      <c r="B253" s="377"/>
      <c r="C253" s="377"/>
      <c r="D253" s="377"/>
      <c r="E253" s="377"/>
      <c r="F253" s="377"/>
      <c r="G253" s="377"/>
    </row>
    <row r="254" spans="1:7">
      <c r="A254" s="377"/>
      <c r="B254" s="377"/>
      <c r="C254" s="377"/>
      <c r="D254" s="377"/>
      <c r="E254" s="377"/>
      <c r="F254" s="377"/>
      <c r="G254" s="377"/>
    </row>
    <row r="255" spans="1:7">
      <c r="A255" s="377"/>
      <c r="B255" s="377"/>
      <c r="C255" s="377"/>
      <c r="D255" s="377"/>
      <c r="E255" s="377"/>
      <c r="F255" s="377"/>
      <c r="G255" s="377"/>
    </row>
    <row r="256" spans="1:7">
      <c r="A256" s="377"/>
      <c r="B256" s="377"/>
      <c r="C256" s="377"/>
      <c r="D256" s="377"/>
      <c r="E256" s="377"/>
      <c r="F256" s="377"/>
      <c r="G256" s="377"/>
    </row>
    <row r="257" spans="1:7">
      <c r="A257" s="377"/>
      <c r="B257" s="377"/>
      <c r="C257" s="377"/>
      <c r="D257" s="377"/>
      <c r="E257" s="377"/>
      <c r="F257" s="377"/>
      <c r="G257" s="377"/>
    </row>
    <row r="258" spans="1:7">
      <c r="A258" s="377"/>
      <c r="B258" s="377"/>
      <c r="C258" s="377"/>
      <c r="D258" s="377"/>
      <c r="E258" s="377"/>
      <c r="F258" s="377"/>
      <c r="G258" s="377"/>
    </row>
    <row r="259" spans="1:7">
      <c r="A259" s="377"/>
      <c r="B259" s="377"/>
      <c r="C259" s="377"/>
      <c r="D259" s="377"/>
      <c r="E259" s="377"/>
      <c r="F259" s="377"/>
      <c r="G259" s="377"/>
    </row>
    <row r="260" spans="1:7">
      <c r="A260" s="377"/>
      <c r="B260" s="377"/>
      <c r="C260" s="377"/>
      <c r="D260" s="377"/>
      <c r="E260" s="377"/>
      <c r="F260" s="377"/>
      <c r="G260" s="377"/>
    </row>
    <row r="261" spans="1:7">
      <c r="A261" s="377"/>
      <c r="B261" s="377"/>
      <c r="C261" s="377"/>
      <c r="D261" s="377"/>
      <c r="E261" s="377"/>
      <c r="F261" s="377"/>
      <c r="G261" s="377"/>
    </row>
    <row r="262" spans="1:7">
      <c r="A262" s="377"/>
      <c r="B262" s="377"/>
      <c r="C262" s="377"/>
      <c r="D262" s="377"/>
      <c r="E262" s="377"/>
      <c r="F262" s="377"/>
      <c r="G262" s="377"/>
    </row>
    <row r="263" spans="1:7">
      <c r="A263" s="377"/>
      <c r="B263" s="377"/>
      <c r="C263" s="377"/>
      <c r="D263" s="377"/>
      <c r="E263" s="377"/>
      <c r="F263" s="377"/>
      <c r="G263" s="377"/>
    </row>
    <row r="264" spans="1:7">
      <c r="A264" s="377"/>
      <c r="B264" s="377"/>
      <c r="C264" s="377"/>
      <c r="D264" s="377"/>
      <c r="E264" s="377"/>
      <c r="F264" s="377"/>
      <c r="G264" s="377"/>
    </row>
    <row r="265" spans="1:7">
      <c r="A265" s="377"/>
      <c r="B265" s="377"/>
      <c r="C265" s="377"/>
      <c r="D265" s="377"/>
      <c r="E265" s="377"/>
      <c r="F265" s="377"/>
      <c r="G265" s="377"/>
    </row>
    <row r="266" spans="1:7">
      <c r="A266" s="377"/>
      <c r="B266" s="377"/>
      <c r="C266" s="377"/>
      <c r="D266" s="377"/>
      <c r="E266" s="377"/>
      <c r="F266" s="377"/>
      <c r="G266" s="377"/>
    </row>
    <row r="267" spans="1:7">
      <c r="A267" s="377"/>
      <c r="B267" s="377"/>
      <c r="C267" s="377"/>
      <c r="D267" s="377"/>
      <c r="E267" s="377"/>
      <c r="F267" s="377"/>
      <c r="G267" s="377"/>
    </row>
    <row r="268" spans="1:7">
      <c r="A268" s="377"/>
      <c r="B268" s="377"/>
      <c r="C268" s="377"/>
      <c r="D268" s="377"/>
      <c r="E268" s="377"/>
      <c r="F268" s="377"/>
      <c r="G268" s="377"/>
    </row>
    <row r="269" spans="1:7">
      <c r="A269" s="377"/>
      <c r="B269" s="377"/>
      <c r="C269" s="377"/>
      <c r="D269" s="377"/>
      <c r="E269" s="377"/>
      <c r="F269" s="377"/>
      <c r="G269" s="377"/>
    </row>
    <row r="270" spans="1:7">
      <c r="A270" s="377"/>
      <c r="B270" s="377"/>
      <c r="C270" s="377"/>
      <c r="D270" s="377"/>
      <c r="E270" s="377"/>
      <c r="F270" s="377"/>
      <c r="G270" s="377"/>
    </row>
    <row r="271" spans="1:7">
      <c r="A271" s="377"/>
      <c r="B271" s="377"/>
      <c r="C271" s="377"/>
      <c r="D271" s="377"/>
      <c r="E271" s="377"/>
      <c r="F271" s="377"/>
      <c r="G271" s="377"/>
    </row>
    <row r="272" spans="1:7">
      <c r="A272" s="377"/>
      <c r="B272" s="377"/>
      <c r="C272" s="377"/>
      <c r="D272" s="377"/>
      <c r="E272" s="377"/>
      <c r="F272" s="377"/>
      <c r="G272" s="377"/>
    </row>
    <row r="273" spans="1:7">
      <c r="A273" s="377"/>
      <c r="B273" s="377"/>
      <c r="C273" s="377"/>
      <c r="D273" s="377"/>
      <c r="E273" s="377"/>
      <c r="F273" s="377"/>
      <c r="G273" s="377"/>
    </row>
    <row r="274" spans="1:7">
      <c r="A274" s="377"/>
      <c r="B274" s="377"/>
      <c r="C274" s="377"/>
      <c r="D274" s="377"/>
      <c r="E274" s="377"/>
      <c r="F274" s="377"/>
      <c r="G274" s="377"/>
    </row>
    <row r="275" spans="1:7">
      <c r="A275" s="377"/>
      <c r="B275" s="377"/>
      <c r="C275" s="377"/>
      <c r="D275" s="377"/>
      <c r="E275" s="377"/>
      <c r="F275" s="377"/>
      <c r="G275" s="377"/>
    </row>
    <row r="276" spans="1:7">
      <c r="A276" s="377"/>
      <c r="B276" s="377"/>
      <c r="C276" s="377"/>
      <c r="D276" s="377"/>
      <c r="E276" s="377"/>
      <c r="F276" s="377"/>
      <c r="G276" s="377"/>
    </row>
    <row r="277" spans="1:7">
      <c r="A277" s="377"/>
      <c r="B277" s="377"/>
      <c r="C277" s="377"/>
      <c r="D277" s="377"/>
      <c r="E277" s="377"/>
      <c r="F277" s="377"/>
      <c r="G277" s="377"/>
    </row>
    <row r="278" spans="1:7">
      <c r="A278" s="377"/>
      <c r="B278" s="377"/>
      <c r="C278" s="377"/>
      <c r="D278" s="377"/>
      <c r="E278" s="377"/>
      <c r="F278" s="377"/>
      <c r="G278" s="377"/>
    </row>
    <row r="279" spans="1:7">
      <c r="A279" s="377"/>
      <c r="B279" s="377"/>
      <c r="C279" s="377"/>
      <c r="D279" s="377"/>
      <c r="E279" s="377"/>
      <c r="F279" s="377"/>
      <c r="G279" s="377"/>
    </row>
    <row r="280" spans="1:7">
      <c r="A280" s="377"/>
      <c r="B280" s="377"/>
      <c r="C280" s="377"/>
      <c r="D280" s="377"/>
      <c r="E280" s="377"/>
      <c r="F280" s="377"/>
      <c r="G280" s="377"/>
    </row>
    <row r="281" spans="1:7">
      <c r="A281" s="377"/>
      <c r="B281" s="377"/>
      <c r="C281" s="377"/>
      <c r="D281" s="377"/>
      <c r="E281" s="377"/>
      <c r="F281" s="377"/>
      <c r="G281" s="377"/>
    </row>
    <row r="282" spans="1:7">
      <c r="A282" s="377"/>
      <c r="B282" s="377"/>
      <c r="C282" s="377"/>
      <c r="D282" s="377"/>
      <c r="E282" s="377"/>
      <c r="F282" s="377"/>
      <c r="G282" s="377"/>
    </row>
    <row r="283" spans="1:7">
      <c r="A283" s="377"/>
      <c r="B283" s="377"/>
      <c r="C283" s="377"/>
      <c r="D283" s="377"/>
      <c r="E283" s="377"/>
      <c r="F283" s="377"/>
      <c r="G283" s="377"/>
    </row>
    <row r="284" spans="1:7">
      <c r="A284" s="377"/>
      <c r="B284" s="377"/>
      <c r="C284" s="377"/>
      <c r="D284" s="377"/>
      <c r="E284" s="377"/>
      <c r="F284" s="377"/>
      <c r="G284" s="377"/>
    </row>
    <row r="285" spans="1:7">
      <c r="A285" s="377"/>
      <c r="B285" s="377"/>
      <c r="C285" s="377"/>
      <c r="D285" s="377"/>
      <c r="E285" s="377"/>
      <c r="F285" s="377"/>
      <c r="G285" s="377"/>
    </row>
    <row r="286" spans="1:7">
      <c r="A286" s="377"/>
      <c r="B286" s="377"/>
      <c r="C286" s="377"/>
      <c r="D286" s="377"/>
      <c r="E286" s="377"/>
      <c r="F286" s="377"/>
      <c r="G286" s="377"/>
    </row>
    <row r="287" spans="1:7">
      <c r="A287" s="377"/>
      <c r="B287" s="377"/>
      <c r="C287" s="377"/>
      <c r="D287" s="377"/>
      <c r="E287" s="377"/>
      <c r="F287" s="377"/>
      <c r="G287" s="377"/>
    </row>
    <row r="288" spans="1:7">
      <c r="A288" s="377"/>
      <c r="B288" s="377"/>
      <c r="C288" s="377"/>
      <c r="D288" s="377"/>
      <c r="E288" s="377"/>
      <c r="F288" s="377"/>
      <c r="G288" s="377"/>
    </row>
    <row r="289" spans="1:7">
      <c r="A289" s="377"/>
      <c r="B289" s="377"/>
      <c r="C289" s="377"/>
      <c r="D289" s="377"/>
      <c r="E289" s="377"/>
      <c r="F289" s="377"/>
      <c r="G289" s="377"/>
    </row>
    <row r="290" spans="1:7">
      <c r="A290" s="377"/>
      <c r="B290" s="377"/>
      <c r="C290" s="377"/>
      <c r="D290" s="377"/>
      <c r="E290" s="377"/>
      <c r="F290" s="377"/>
      <c r="G290" s="377"/>
    </row>
    <row r="291" spans="1:7">
      <c r="A291" s="377"/>
      <c r="B291" s="377"/>
      <c r="C291" s="377"/>
      <c r="D291" s="377"/>
      <c r="E291" s="377"/>
      <c r="F291" s="377"/>
      <c r="G291" s="377"/>
    </row>
    <row r="292" spans="1:7">
      <c r="A292" s="377"/>
      <c r="B292" s="377"/>
      <c r="C292" s="377"/>
      <c r="D292" s="377"/>
      <c r="E292" s="377"/>
      <c r="F292" s="377"/>
      <c r="G292" s="377"/>
    </row>
    <row r="293" spans="1:7">
      <c r="A293" s="377"/>
      <c r="B293" s="377"/>
      <c r="C293" s="377"/>
      <c r="D293" s="377"/>
      <c r="E293" s="377"/>
      <c r="F293" s="377"/>
      <c r="G293" s="377"/>
    </row>
    <row r="294" spans="1:7">
      <c r="A294" s="377"/>
      <c r="B294" s="377"/>
      <c r="C294" s="377"/>
      <c r="D294" s="377"/>
      <c r="E294" s="377"/>
      <c r="F294" s="377"/>
      <c r="G294" s="377"/>
    </row>
    <row r="295" spans="1:7">
      <c r="A295" s="377"/>
      <c r="B295" s="377"/>
      <c r="C295" s="377"/>
      <c r="D295" s="377"/>
      <c r="E295" s="377"/>
      <c r="F295" s="377"/>
      <c r="G295" s="377"/>
    </row>
    <row r="296" spans="1:7">
      <c r="A296" s="377"/>
      <c r="B296" s="377"/>
      <c r="C296" s="377"/>
      <c r="D296" s="377"/>
      <c r="E296" s="377"/>
      <c r="F296" s="377"/>
      <c r="G296" s="377"/>
    </row>
    <row r="297" spans="1:7">
      <c r="A297" s="377"/>
      <c r="B297" s="377"/>
      <c r="C297" s="377"/>
      <c r="D297" s="377"/>
      <c r="E297" s="377"/>
      <c r="F297" s="377"/>
      <c r="G297" s="377"/>
    </row>
    <row r="298" spans="1:7">
      <c r="A298" s="377"/>
      <c r="B298" s="377"/>
      <c r="C298" s="377"/>
      <c r="D298" s="377"/>
      <c r="E298" s="377"/>
      <c r="F298" s="377"/>
      <c r="G298" s="377"/>
    </row>
    <row r="299" spans="1:7">
      <c r="A299" s="377"/>
      <c r="B299" s="377"/>
      <c r="C299" s="377"/>
      <c r="D299" s="377"/>
      <c r="E299" s="377"/>
      <c r="F299" s="377"/>
      <c r="G299" s="377"/>
    </row>
    <row r="300" spans="1:7">
      <c r="A300" s="377"/>
      <c r="B300" s="377"/>
      <c r="C300" s="377"/>
      <c r="D300" s="377"/>
      <c r="E300" s="377"/>
      <c r="F300" s="377"/>
      <c r="G300" s="377"/>
    </row>
    <row r="301" spans="1:7">
      <c r="A301" s="377"/>
      <c r="B301" s="377"/>
      <c r="C301" s="377"/>
      <c r="D301" s="377"/>
      <c r="E301" s="377"/>
      <c r="F301" s="377"/>
      <c r="G301" s="377"/>
    </row>
    <row r="302" spans="1:7">
      <c r="A302" s="377"/>
      <c r="B302" s="377"/>
      <c r="C302" s="377"/>
      <c r="D302" s="377"/>
      <c r="E302" s="377"/>
      <c r="F302" s="377"/>
      <c r="G302" s="377"/>
    </row>
    <row r="303" spans="1:7">
      <c r="A303" s="377"/>
      <c r="B303" s="377"/>
      <c r="C303" s="377"/>
      <c r="D303" s="377"/>
      <c r="E303" s="377"/>
      <c r="F303" s="377"/>
      <c r="G303" s="377"/>
    </row>
    <row r="304" spans="1:7">
      <c r="A304" s="377"/>
      <c r="B304" s="377"/>
      <c r="C304" s="377"/>
      <c r="D304" s="377"/>
      <c r="E304" s="377"/>
      <c r="F304" s="377"/>
      <c r="G304" s="377"/>
    </row>
    <row r="305" spans="1:7">
      <c r="A305" s="377"/>
      <c r="B305" s="377"/>
      <c r="C305" s="377"/>
      <c r="D305" s="377"/>
      <c r="E305" s="377"/>
      <c r="F305" s="377"/>
      <c r="G305" s="377"/>
    </row>
    <row r="306" spans="1:7">
      <c r="A306" s="377"/>
      <c r="B306" s="377"/>
      <c r="C306" s="377"/>
      <c r="D306" s="377"/>
      <c r="E306" s="377"/>
      <c r="F306" s="377"/>
      <c r="G306" s="377"/>
    </row>
    <row r="307" spans="1:7">
      <c r="A307" s="377"/>
      <c r="B307" s="377"/>
      <c r="C307" s="377"/>
      <c r="D307" s="377"/>
      <c r="E307" s="377"/>
      <c r="F307" s="377"/>
      <c r="G307" s="377"/>
    </row>
    <row r="308" spans="1:7">
      <c r="A308" s="377"/>
      <c r="B308" s="377"/>
      <c r="C308" s="377"/>
      <c r="D308" s="377"/>
      <c r="E308" s="377"/>
      <c r="F308" s="377"/>
      <c r="G308" s="377"/>
    </row>
    <row r="309" spans="1:7">
      <c r="A309" s="377"/>
      <c r="B309" s="377"/>
      <c r="C309" s="377"/>
      <c r="D309" s="377"/>
      <c r="E309" s="377"/>
      <c r="F309" s="377"/>
      <c r="G309" s="377"/>
    </row>
    <row r="310" spans="1:7">
      <c r="A310" s="377"/>
      <c r="B310" s="377"/>
      <c r="C310" s="377"/>
      <c r="D310" s="377"/>
      <c r="E310" s="377"/>
      <c r="F310" s="377"/>
      <c r="G310" s="377"/>
    </row>
    <row r="311" spans="1:7">
      <c r="A311" s="377"/>
      <c r="B311" s="377"/>
      <c r="C311" s="377"/>
      <c r="D311" s="377"/>
      <c r="E311" s="377"/>
      <c r="F311" s="377"/>
      <c r="G311" s="377"/>
    </row>
    <row r="312" spans="1:7">
      <c r="A312" s="377"/>
      <c r="B312" s="377"/>
      <c r="C312" s="377"/>
      <c r="D312" s="377"/>
      <c r="E312" s="377"/>
      <c r="F312" s="377"/>
      <c r="G312" s="377"/>
    </row>
    <row r="313" spans="1:7">
      <c r="A313" s="377"/>
      <c r="B313" s="377"/>
      <c r="C313" s="377"/>
      <c r="D313" s="377"/>
      <c r="E313" s="377"/>
      <c r="F313" s="377"/>
      <c r="G313" s="377"/>
    </row>
    <row r="314" spans="1:7">
      <c r="A314" s="377"/>
      <c r="B314" s="377"/>
      <c r="C314" s="377"/>
      <c r="D314" s="377"/>
      <c r="E314" s="377"/>
      <c r="F314" s="377"/>
      <c r="G314" s="377"/>
    </row>
    <row r="315" spans="1:7">
      <c r="A315" s="377"/>
      <c r="B315" s="377"/>
      <c r="C315" s="377"/>
      <c r="D315" s="377"/>
      <c r="E315" s="377"/>
      <c r="F315" s="377"/>
      <c r="G315" s="377"/>
    </row>
    <row r="316" spans="1:7">
      <c r="A316" s="377"/>
      <c r="B316" s="377"/>
      <c r="C316" s="377"/>
      <c r="D316" s="377"/>
      <c r="E316" s="377"/>
      <c r="F316" s="377"/>
      <c r="G316" s="377"/>
    </row>
    <row r="317" spans="1:7">
      <c r="A317" s="377"/>
      <c r="B317" s="377"/>
      <c r="C317" s="377"/>
      <c r="D317" s="377"/>
      <c r="E317" s="377"/>
      <c r="F317" s="377"/>
      <c r="G317" s="377"/>
    </row>
    <row r="318" spans="1:7">
      <c r="A318" s="377"/>
      <c r="B318" s="377"/>
      <c r="C318" s="377"/>
      <c r="D318" s="377"/>
      <c r="E318" s="377"/>
      <c r="F318" s="377"/>
      <c r="G318" s="377"/>
    </row>
    <row r="319" spans="1:7">
      <c r="A319" s="377"/>
      <c r="B319" s="377"/>
      <c r="C319" s="377"/>
      <c r="D319" s="377"/>
      <c r="E319" s="377"/>
      <c r="F319" s="377"/>
      <c r="G319" s="377"/>
    </row>
    <row r="320" spans="1:7">
      <c r="A320" s="377"/>
      <c r="B320" s="377"/>
      <c r="C320" s="377"/>
      <c r="D320" s="377"/>
      <c r="E320" s="377"/>
      <c r="F320" s="377"/>
      <c r="G320" s="377"/>
    </row>
    <row r="321" spans="1:7">
      <c r="A321" s="377"/>
      <c r="B321" s="377"/>
      <c r="C321" s="377"/>
      <c r="D321" s="377"/>
      <c r="E321" s="377"/>
      <c r="F321" s="377"/>
      <c r="G321" s="377"/>
    </row>
    <row r="322" spans="1:7">
      <c r="A322" s="377"/>
      <c r="B322" s="377"/>
      <c r="C322" s="377"/>
      <c r="D322" s="377"/>
      <c r="E322" s="377"/>
      <c r="F322" s="377"/>
      <c r="G322" s="377"/>
    </row>
    <row r="323" spans="1:7">
      <c r="A323" s="377"/>
      <c r="B323" s="377"/>
      <c r="C323" s="377"/>
      <c r="D323" s="377"/>
      <c r="E323" s="377"/>
      <c r="F323" s="377"/>
      <c r="G323" s="377"/>
    </row>
    <row r="324" spans="1:7">
      <c r="A324" s="377"/>
      <c r="B324" s="377"/>
      <c r="C324" s="377"/>
      <c r="D324" s="377"/>
      <c r="E324" s="377"/>
      <c r="F324" s="377"/>
      <c r="G324" s="377"/>
    </row>
    <row r="325" spans="1:7">
      <c r="A325" s="377"/>
      <c r="B325" s="377"/>
      <c r="C325" s="377"/>
      <c r="D325" s="377"/>
      <c r="E325" s="377"/>
      <c r="F325" s="377"/>
      <c r="G325" s="377"/>
    </row>
    <row r="326" spans="1:7">
      <c r="A326" s="377"/>
      <c r="B326" s="377"/>
      <c r="C326" s="377"/>
      <c r="D326" s="377"/>
      <c r="E326" s="377"/>
      <c r="F326" s="377"/>
      <c r="G326" s="377"/>
    </row>
    <row r="327" spans="1:7">
      <c r="A327" s="377"/>
      <c r="B327" s="377"/>
      <c r="C327" s="377"/>
      <c r="D327" s="377"/>
      <c r="E327" s="377"/>
      <c r="F327" s="377"/>
      <c r="G327" s="377"/>
    </row>
    <row r="328" spans="1:7">
      <c r="A328" s="377"/>
      <c r="B328" s="377"/>
      <c r="C328" s="377"/>
      <c r="D328" s="377"/>
      <c r="E328" s="377"/>
      <c r="F328" s="377"/>
      <c r="G328" s="377"/>
    </row>
    <row r="329" spans="1:7">
      <c r="A329" s="377"/>
      <c r="B329" s="377"/>
      <c r="C329" s="377"/>
      <c r="D329" s="377"/>
      <c r="E329" s="377"/>
      <c r="F329" s="377"/>
      <c r="G329" s="377"/>
    </row>
    <row r="330" spans="1:7">
      <c r="A330" s="377"/>
      <c r="B330" s="377"/>
      <c r="C330" s="377"/>
      <c r="D330" s="377"/>
      <c r="E330" s="377"/>
      <c r="F330" s="377"/>
      <c r="G330" s="377"/>
    </row>
    <row r="331" spans="1:7">
      <c r="A331" s="377"/>
      <c r="B331" s="377"/>
      <c r="C331" s="377"/>
      <c r="D331" s="377"/>
      <c r="E331" s="377"/>
      <c r="F331" s="377"/>
      <c r="G331" s="377"/>
    </row>
    <row r="332" spans="1:7">
      <c r="A332" s="377"/>
      <c r="B332" s="377"/>
      <c r="C332" s="377"/>
      <c r="D332" s="377"/>
      <c r="E332" s="377"/>
      <c r="F332" s="377"/>
      <c r="G332" s="377"/>
    </row>
    <row r="333" spans="1:7">
      <c r="A333" s="377"/>
      <c r="B333" s="377"/>
      <c r="C333" s="377"/>
      <c r="D333" s="377"/>
      <c r="E333" s="377"/>
      <c r="F333" s="377"/>
      <c r="G333" s="377"/>
    </row>
    <row r="334" spans="1:7">
      <c r="A334" s="377"/>
      <c r="B334" s="377"/>
      <c r="C334" s="377"/>
      <c r="D334" s="377"/>
      <c r="E334" s="377"/>
      <c r="F334" s="377"/>
      <c r="G334" s="377"/>
    </row>
    <row r="335" spans="1:7">
      <c r="A335" s="377"/>
      <c r="B335" s="377"/>
      <c r="C335" s="377"/>
      <c r="D335" s="377"/>
      <c r="E335" s="377"/>
      <c r="F335" s="377"/>
      <c r="G335" s="377"/>
    </row>
    <row r="336" spans="1:7">
      <c r="A336" s="377"/>
      <c r="B336" s="377"/>
      <c r="C336" s="377"/>
      <c r="D336" s="377"/>
      <c r="E336" s="377"/>
      <c r="F336" s="377"/>
      <c r="G336" s="377"/>
    </row>
    <row r="337" spans="1:7">
      <c r="A337" s="377"/>
      <c r="B337" s="377"/>
      <c r="C337" s="377"/>
      <c r="D337" s="377"/>
      <c r="E337" s="377"/>
      <c r="F337" s="377"/>
      <c r="G337" s="377"/>
    </row>
    <row r="338" spans="1:7">
      <c r="A338" s="377"/>
      <c r="B338" s="377"/>
      <c r="C338" s="377"/>
      <c r="D338" s="377"/>
      <c r="E338" s="377"/>
      <c r="F338" s="377"/>
      <c r="G338" s="377"/>
    </row>
    <row r="339" spans="1:7">
      <c r="A339" s="377"/>
      <c r="B339" s="377"/>
      <c r="C339" s="377"/>
      <c r="D339" s="377"/>
      <c r="E339" s="377"/>
      <c r="F339" s="377"/>
      <c r="G339" s="377"/>
    </row>
    <row r="340" spans="1:7">
      <c r="A340" s="377"/>
      <c r="B340" s="377"/>
      <c r="C340" s="377"/>
      <c r="D340" s="377"/>
      <c r="E340" s="377"/>
      <c r="F340" s="377"/>
      <c r="G340" s="377"/>
    </row>
    <row r="341" spans="1:7">
      <c r="A341" s="377"/>
      <c r="B341" s="377"/>
      <c r="C341" s="377"/>
      <c r="D341" s="377"/>
      <c r="E341" s="377"/>
      <c r="F341" s="377"/>
      <c r="G341" s="377"/>
    </row>
    <row r="342" spans="1:7">
      <c r="A342" s="377"/>
      <c r="B342" s="377"/>
      <c r="C342" s="377"/>
      <c r="D342" s="377"/>
      <c r="E342" s="377"/>
      <c r="F342" s="377"/>
      <c r="G342" s="377"/>
    </row>
    <row r="343" spans="1:7">
      <c r="A343" s="377"/>
      <c r="B343" s="377"/>
      <c r="C343" s="377"/>
      <c r="D343" s="377"/>
      <c r="E343" s="377"/>
      <c r="F343" s="377"/>
      <c r="G343" s="377"/>
    </row>
    <row r="344" spans="1:7">
      <c r="A344" s="377"/>
      <c r="B344" s="377"/>
      <c r="C344" s="377"/>
      <c r="D344" s="377"/>
      <c r="E344" s="377"/>
      <c r="F344" s="377"/>
      <c r="G344" s="377"/>
    </row>
    <row r="345" spans="1:7">
      <c r="A345" s="377"/>
      <c r="B345" s="377"/>
      <c r="C345" s="377"/>
      <c r="D345" s="377"/>
      <c r="E345" s="377"/>
      <c r="F345" s="377"/>
      <c r="G345" s="377"/>
    </row>
    <row r="346" spans="1:7">
      <c r="A346" s="377"/>
      <c r="B346" s="377"/>
      <c r="C346" s="377"/>
      <c r="D346" s="377"/>
      <c r="E346" s="377"/>
      <c r="F346" s="377"/>
      <c r="G346" s="377"/>
    </row>
    <row r="347" spans="1:7">
      <c r="A347" s="377"/>
      <c r="B347" s="377"/>
      <c r="C347" s="377"/>
      <c r="D347" s="377"/>
      <c r="E347" s="377"/>
      <c r="F347" s="377"/>
      <c r="G347" s="377"/>
    </row>
    <row r="348" spans="1:7">
      <c r="A348" s="377"/>
      <c r="B348" s="377"/>
      <c r="C348" s="377"/>
      <c r="D348" s="377"/>
      <c r="E348" s="377"/>
      <c r="F348" s="377"/>
      <c r="G348" s="377"/>
    </row>
    <row r="349" spans="1:7">
      <c r="A349" s="377"/>
      <c r="B349" s="377"/>
      <c r="C349" s="377"/>
      <c r="D349" s="377"/>
      <c r="E349" s="377"/>
      <c r="F349" s="377"/>
      <c r="G349" s="377"/>
    </row>
    <row r="350" spans="1:7">
      <c r="A350" s="377"/>
      <c r="B350" s="377"/>
      <c r="C350" s="377"/>
      <c r="D350" s="377"/>
      <c r="E350" s="377"/>
      <c r="F350" s="377"/>
      <c r="G350" s="377"/>
    </row>
    <row r="351" spans="1:7">
      <c r="A351" s="377"/>
      <c r="B351" s="377"/>
      <c r="C351" s="377"/>
      <c r="D351" s="377"/>
      <c r="E351" s="377"/>
      <c r="F351" s="377"/>
      <c r="G351" s="377"/>
    </row>
    <row r="352" spans="1:7">
      <c r="A352" s="377"/>
      <c r="B352" s="377"/>
      <c r="C352" s="377"/>
      <c r="D352" s="377"/>
      <c r="E352" s="377"/>
      <c r="F352" s="377"/>
      <c r="G352" s="377"/>
    </row>
    <row r="353" spans="1:7">
      <c r="A353" s="377"/>
      <c r="B353" s="377"/>
      <c r="C353" s="377"/>
      <c r="D353" s="377"/>
      <c r="E353" s="377"/>
      <c r="F353" s="377"/>
      <c r="G353" s="377"/>
    </row>
    <row r="354" spans="1:7">
      <c r="A354" s="377"/>
      <c r="B354" s="377"/>
      <c r="C354" s="377"/>
      <c r="D354" s="377"/>
      <c r="E354" s="377"/>
      <c r="F354" s="377"/>
      <c r="G354" s="377"/>
    </row>
    <row r="355" spans="1:7">
      <c r="A355" s="377"/>
      <c r="B355" s="377"/>
      <c r="C355" s="377"/>
      <c r="D355" s="377"/>
      <c r="E355" s="377"/>
      <c r="F355" s="377"/>
      <c r="G355" s="377"/>
    </row>
    <row r="356" spans="1:7">
      <c r="A356" s="377"/>
      <c r="B356" s="377"/>
      <c r="C356" s="377"/>
      <c r="D356" s="377"/>
      <c r="E356" s="377"/>
      <c r="F356" s="377"/>
      <c r="G356" s="377"/>
    </row>
    <row r="357" spans="1:7">
      <c r="A357" s="377"/>
      <c r="B357" s="377"/>
      <c r="C357" s="377"/>
      <c r="D357" s="377"/>
      <c r="E357" s="377"/>
      <c r="F357" s="377"/>
      <c r="G357" s="377"/>
    </row>
    <row r="358" spans="1:7">
      <c r="A358" s="377"/>
      <c r="B358" s="377"/>
      <c r="C358" s="377"/>
      <c r="D358" s="377"/>
      <c r="E358" s="377"/>
      <c r="F358" s="377"/>
      <c r="G358" s="377"/>
    </row>
    <row r="359" spans="1:7">
      <c r="A359" s="377"/>
      <c r="B359" s="377"/>
      <c r="C359" s="377"/>
      <c r="D359" s="377"/>
      <c r="E359" s="377"/>
      <c r="F359" s="377"/>
      <c r="G359" s="377"/>
    </row>
    <row r="360" spans="1:7">
      <c r="A360" s="377"/>
      <c r="B360" s="377"/>
      <c r="C360" s="377"/>
      <c r="D360" s="377"/>
      <c r="E360" s="377"/>
      <c r="F360" s="377"/>
      <c r="G360" s="377"/>
    </row>
    <row r="361" spans="1:7">
      <c r="A361" s="377"/>
      <c r="B361" s="377"/>
      <c r="C361" s="377"/>
      <c r="D361" s="377"/>
      <c r="E361" s="377"/>
      <c r="F361" s="377"/>
      <c r="G361" s="377"/>
    </row>
    <row r="362" spans="1:7">
      <c r="A362" s="377"/>
      <c r="B362" s="377"/>
      <c r="C362" s="377"/>
      <c r="D362" s="377"/>
      <c r="E362" s="377"/>
      <c r="F362" s="377"/>
      <c r="G362" s="377"/>
    </row>
    <row r="363" spans="1:7">
      <c r="A363" s="377"/>
      <c r="B363" s="377"/>
      <c r="C363" s="377"/>
      <c r="D363" s="377"/>
      <c r="E363" s="377"/>
      <c r="F363" s="377"/>
      <c r="G363" s="377"/>
    </row>
    <row r="364" spans="1:7">
      <c r="A364" s="377"/>
      <c r="B364" s="377"/>
      <c r="C364" s="377"/>
      <c r="D364" s="377"/>
      <c r="E364" s="377"/>
      <c r="F364" s="377"/>
      <c r="G364" s="377"/>
    </row>
    <row r="365" spans="1:7">
      <c r="A365" s="377"/>
      <c r="B365" s="377"/>
      <c r="C365" s="377"/>
      <c r="D365" s="377"/>
      <c r="E365" s="377"/>
      <c r="F365" s="377"/>
      <c r="G365" s="377"/>
    </row>
    <row r="366" spans="1:7">
      <c r="A366" s="377"/>
      <c r="B366" s="377"/>
      <c r="C366" s="377"/>
      <c r="D366" s="377"/>
      <c r="E366" s="377"/>
      <c r="F366" s="377"/>
      <c r="G366" s="377"/>
    </row>
    <row r="367" spans="1:7">
      <c r="A367" s="377"/>
      <c r="B367" s="377"/>
      <c r="C367" s="377"/>
      <c r="D367" s="377"/>
      <c r="E367" s="377"/>
      <c r="F367" s="377"/>
      <c r="G367" s="377"/>
    </row>
    <row r="368" spans="1:7">
      <c r="A368" s="377"/>
      <c r="B368" s="377"/>
      <c r="C368" s="377"/>
      <c r="D368" s="377"/>
      <c r="E368" s="377"/>
      <c r="F368" s="377"/>
      <c r="G368" s="377"/>
    </row>
    <row r="369" spans="1:7">
      <c r="A369" s="377"/>
      <c r="B369" s="377"/>
      <c r="C369" s="377"/>
      <c r="D369" s="377"/>
      <c r="E369" s="377"/>
      <c r="F369" s="377"/>
      <c r="G369" s="377"/>
    </row>
    <row r="370" spans="1:7">
      <c r="A370" s="377"/>
      <c r="B370" s="377"/>
      <c r="C370" s="377"/>
      <c r="D370" s="377"/>
      <c r="E370" s="377"/>
      <c r="F370" s="377"/>
      <c r="G370" s="377"/>
    </row>
    <row r="371" spans="1:7">
      <c r="A371" s="377"/>
      <c r="B371" s="377"/>
      <c r="C371" s="377"/>
      <c r="D371" s="377"/>
      <c r="E371" s="377"/>
      <c r="F371" s="377"/>
      <c r="G371" s="377"/>
    </row>
    <row r="372" spans="1:7">
      <c r="A372" s="377"/>
      <c r="B372" s="377"/>
      <c r="C372" s="377"/>
      <c r="D372" s="377"/>
      <c r="E372" s="377"/>
      <c r="F372" s="377"/>
      <c r="G372" s="377"/>
    </row>
    <row r="373" spans="1:7">
      <c r="A373" s="377"/>
      <c r="B373" s="377"/>
      <c r="C373" s="377"/>
      <c r="D373" s="377"/>
      <c r="E373" s="377"/>
      <c r="F373" s="377"/>
      <c r="G373" s="377"/>
    </row>
    <row r="374" spans="1:7">
      <c r="A374" s="377"/>
      <c r="B374" s="377"/>
      <c r="C374" s="377"/>
      <c r="D374" s="377"/>
      <c r="E374" s="377"/>
      <c r="F374" s="377"/>
      <c r="G374" s="377"/>
    </row>
    <row r="375" spans="1:7">
      <c r="A375" s="377"/>
      <c r="B375" s="377"/>
      <c r="C375" s="377"/>
      <c r="D375" s="377"/>
      <c r="E375" s="377"/>
      <c r="F375" s="377"/>
      <c r="G375" s="377"/>
    </row>
    <row r="376" spans="1:7">
      <c r="A376" s="377"/>
      <c r="B376" s="377"/>
      <c r="C376" s="377"/>
      <c r="D376" s="377"/>
      <c r="E376" s="377"/>
      <c r="F376" s="377"/>
      <c r="G376" s="377"/>
    </row>
    <row r="377" spans="1:7">
      <c r="A377" s="377"/>
      <c r="B377" s="377"/>
      <c r="C377" s="377"/>
      <c r="D377" s="377"/>
      <c r="E377" s="377"/>
      <c r="F377" s="377"/>
      <c r="G377" s="377"/>
    </row>
    <row r="378" spans="1:7">
      <c r="A378" s="377"/>
      <c r="B378" s="377"/>
      <c r="C378" s="377"/>
      <c r="D378" s="377"/>
      <c r="E378" s="377"/>
      <c r="F378" s="377"/>
      <c r="G378" s="377"/>
    </row>
    <row r="379" spans="1:7">
      <c r="A379" s="377"/>
      <c r="B379" s="377"/>
      <c r="C379" s="377"/>
      <c r="D379" s="377"/>
      <c r="E379" s="377"/>
      <c r="F379" s="377"/>
      <c r="G379" s="377"/>
    </row>
    <row r="380" spans="1:7">
      <c r="A380" s="377"/>
      <c r="B380" s="377"/>
      <c r="C380" s="377"/>
      <c r="D380" s="377"/>
      <c r="E380" s="377"/>
      <c r="F380" s="377"/>
      <c r="G380" s="377"/>
    </row>
    <row r="381" spans="1:7">
      <c r="A381" s="377"/>
      <c r="B381" s="377"/>
      <c r="C381" s="377"/>
      <c r="D381" s="377"/>
      <c r="E381" s="377"/>
      <c r="F381" s="377"/>
      <c r="G381" s="377"/>
    </row>
    <row r="382" spans="1:7">
      <c r="A382" s="377"/>
      <c r="B382" s="377"/>
      <c r="C382" s="377"/>
      <c r="D382" s="377"/>
      <c r="E382" s="377"/>
      <c r="F382" s="377"/>
      <c r="G382" s="377"/>
    </row>
    <row r="383" spans="1:7">
      <c r="A383" s="377"/>
      <c r="B383" s="377"/>
      <c r="C383" s="377"/>
      <c r="D383" s="377"/>
      <c r="E383" s="377"/>
      <c r="F383" s="377"/>
      <c r="G383" s="377"/>
    </row>
    <row r="384" spans="1:7">
      <c r="A384" s="377"/>
      <c r="B384" s="377"/>
      <c r="C384" s="377"/>
      <c r="D384" s="377"/>
      <c r="E384" s="377"/>
      <c r="F384" s="377"/>
      <c r="G384" s="377"/>
    </row>
    <row r="385" spans="1:7">
      <c r="A385" s="377"/>
      <c r="B385" s="377"/>
      <c r="C385" s="377"/>
      <c r="D385" s="377"/>
      <c r="E385" s="377"/>
      <c r="F385" s="377"/>
      <c r="G385" s="377"/>
    </row>
    <row r="386" spans="1:7">
      <c r="A386" s="377"/>
      <c r="B386" s="377"/>
      <c r="C386" s="377"/>
      <c r="D386" s="377"/>
      <c r="E386" s="377"/>
      <c r="F386" s="377"/>
      <c r="G386" s="377"/>
    </row>
    <row r="387" spans="1:7">
      <c r="A387" s="377"/>
      <c r="B387" s="377"/>
      <c r="C387" s="377"/>
      <c r="D387" s="377"/>
      <c r="E387" s="377"/>
      <c r="F387" s="377"/>
      <c r="G387" s="377"/>
    </row>
    <row r="388" spans="1:7">
      <c r="A388" s="377"/>
      <c r="B388" s="377"/>
      <c r="C388" s="377"/>
      <c r="D388" s="377"/>
      <c r="E388" s="377"/>
      <c r="F388" s="377"/>
      <c r="G388" s="377"/>
    </row>
    <row r="389" spans="1:7">
      <c r="A389" s="377"/>
      <c r="B389" s="377"/>
      <c r="C389" s="377"/>
      <c r="D389" s="377"/>
      <c r="E389" s="377"/>
      <c r="F389" s="377"/>
      <c r="G389" s="377"/>
    </row>
    <row r="390" spans="1:7">
      <c r="A390" s="377"/>
      <c r="B390" s="377"/>
      <c r="C390" s="377"/>
      <c r="D390" s="377"/>
      <c r="E390" s="377"/>
      <c r="F390" s="377"/>
      <c r="G390" s="377"/>
    </row>
    <row r="391" spans="1:7">
      <c r="A391" s="377"/>
      <c r="B391" s="377"/>
      <c r="C391" s="377"/>
      <c r="D391" s="377"/>
      <c r="E391" s="377"/>
      <c r="F391" s="377"/>
      <c r="G391" s="377"/>
    </row>
    <row r="392" spans="1:7">
      <c r="A392" s="377"/>
      <c r="B392" s="377"/>
      <c r="C392" s="377"/>
      <c r="D392" s="377"/>
      <c r="E392" s="377"/>
      <c r="F392" s="377"/>
      <c r="G392" s="377"/>
    </row>
    <row r="393" spans="1:7">
      <c r="A393" s="377"/>
      <c r="B393" s="377"/>
      <c r="C393" s="377"/>
      <c r="D393" s="377"/>
      <c r="E393" s="377"/>
      <c r="F393" s="377"/>
      <c r="G393" s="377"/>
    </row>
    <row r="394" spans="1:7">
      <c r="A394" s="377"/>
      <c r="B394" s="377"/>
      <c r="C394" s="377"/>
      <c r="D394" s="377"/>
      <c r="E394" s="377"/>
      <c r="F394" s="377"/>
      <c r="G394" s="377"/>
    </row>
    <row r="395" spans="1:7">
      <c r="A395" s="377"/>
      <c r="B395" s="377"/>
      <c r="C395" s="377"/>
      <c r="D395" s="377"/>
      <c r="E395" s="377"/>
      <c r="F395" s="377"/>
      <c r="G395" s="377"/>
    </row>
    <row r="396" spans="1:7">
      <c r="A396" s="377"/>
      <c r="B396" s="377"/>
      <c r="C396" s="377"/>
      <c r="D396" s="377"/>
      <c r="E396" s="377"/>
      <c r="F396" s="377"/>
      <c r="G396" s="377"/>
    </row>
    <row r="397" spans="1:7">
      <c r="A397" s="377"/>
      <c r="B397" s="377"/>
      <c r="C397" s="377"/>
      <c r="D397" s="377"/>
      <c r="E397" s="377"/>
      <c r="F397" s="377"/>
      <c r="G397" s="377"/>
    </row>
    <row r="398" spans="1:7">
      <c r="A398" s="377"/>
      <c r="B398" s="377"/>
      <c r="C398" s="377"/>
      <c r="D398" s="377"/>
      <c r="E398" s="377"/>
      <c r="F398" s="377"/>
      <c r="G398" s="377"/>
    </row>
    <row r="399" spans="1:7">
      <c r="A399" s="377"/>
      <c r="B399" s="377"/>
      <c r="C399" s="377"/>
      <c r="D399" s="377"/>
      <c r="E399" s="377"/>
      <c r="F399" s="377"/>
      <c r="G399" s="377"/>
    </row>
    <row r="400" spans="1:7">
      <c r="A400" s="377"/>
      <c r="B400" s="377"/>
      <c r="C400" s="377"/>
      <c r="D400" s="377"/>
      <c r="E400" s="377"/>
      <c r="F400" s="377"/>
      <c r="G400" s="377"/>
    </row>
    <row r="401" spans="1:7">
      <c r="A401" s="377"/>
      <c r="B401" s="377"/>
      <c r="C401" s="377"/>
      <c r="D401" s="377"/>
      <c r="E401" s="377"/>
      <c r="F401" s="377"/>
      <c r="G401" s="377"/>
    </row>
    <row r="402" spans="1:7">
      <c r="A402" s="377"/>
      <c r="B402" s="377"/>
      <c r="C402" s="377"/>
      <c r="D402" s="377"/>
      <c r="E402" s="377"/>
      <c r="F402" s="377"/>
      <c r="G402" s="377"/>
    </row>
    <row r="403" spans="1:7">
      <c r="A403" s="377"/>
      <c r="B403" s="377"/>
      <c r="C403" s="377"/>
      <c r="D403" s="377"/>
      <c r="E403" s="377"/>
      <c r="F403" s="377"/>
      <c r="G403" s="377"/>
    </row>
    <row r="404" spans="1:7">
      <c r="A404" s="377"/>
      <c r="B404" s="377"/>
      <c r="C404" s="377"/>
      <c r="D404" s="377"/>
      <c r="E404" s="377"/>
      <c r="F404" s="377"/>
      <c r="G404" s="377"/>
    </row>
    <row r="405" spans="1:7">
      <c r="A405" s="377"/>
      <c r="B405" s="377"/>
      <c r="C405" s="377"/>
      <c r="D405" s="377"/>
      <c r="E405" s="377"/>
      <c r="F405" s="377"/>
      <c r="G405" s="377"/>
    </row>
    <row r="406" spans="1:7">
      <c r="A406" s="377"/>
      <c r="B406" s="377"/>
      <c r="C406" s="377"/>
      <c r="D406" s="377"/>
      <c r="E406" s="377"/>
      <c r="F406" s="377"/>
      <c r="G406" s="377"/>
    </row>
    <row r="407" spans="1:7">
      <c r="A407" s="377"/>
      <c r="B407" s="377"/>
      <c r="C407" s="377"/>
      <c r="D407" s="377"/>
      <c r="E407" s="377"/>
      <c r="F407" s="377"/>
      <c r="G407" s="377"/>
    </row>
    <row r="408" spans="1:7">
      <c r="A408" s="377"/>
      <c r="B408" s="377"/>
      <c r="C408" s="377"/>
      <c r="D408" s="377"/>
      <c r="E408" s="377"/>
      <c r="F408" s="377"/>
      <c r="G408" s="377"/>
    </row>
    <row r="409" spans="1:7">
      <c r="A409" s="377"/>
      <c r="B409" s="377"/>
      <c r="C409" s="377"/>
      <c r="D409" s="377"/>
      <c r="E409" s="377"/>
      <c r="F409" s="377"/>
      <c r="G409" s="377"/>
    </row>
    <row r="410" spans="1:7">
      <c r="A410" s="377"/>
      <c r="B410" s="377"/>
      <c r="C410" s="377"/>
      <c r="D410" s="377"/>
      <c r="E410" s="377"/>
      <c r="F410" s="377"/>
      <c r="G410" s="377"/>
    </row>
    <row r="411" spans="1:7">
      <c r="A411" s="377"/>
      <c r="B411" s="377"/>
      <c r="C411" s="377"/>
      <c r="D411" s="377"/>
      <c r="E411" s="377"/>
      <c r="F411" s="377"/>
      <c r="G411" s="377"/>
    </row>
    <row r="412" spans="1:7">
      <c r="A412" s="377"/>
      <c r="B412" s="377"/>
      <c r="C412" s="377"/>
      <c r="D412" s="377"/>
      <c r="E412" s="377"/>
      <c r="F412" s="377"/>
      <c r="G412" s="377"/>
    </row>
    <row r="413" spans="1:7">
      <c r="A413" s="377"/>
      <c r="B413" s="377"/>
      <c r="C413" s="377"/>
      <c r="D413" s="377"/>
      <c r="E413" s="377"/>
      <c r="F413" s="377"/>
      <c r="G413" s="377"/>
    </row>
    <row r="414" spans="1:7">
      <c r="A414" s="377"/>
      <c r="B414" s="377"/>
      <c r="C414" s="377"/>
      <c r="D414" s="377"/>
      <c r="E414" s="377"/>
      <c r="F414" s="377"/>
      <c r="G414" s="377"/>
    </row>
    <row r="415" spans="1:7">
      <c r="A415" s="377"/>
      <c r="B415" s="377"/>
      <c r="C415" s="377"/>
      <c r="D415" s="377"/>
      <c r="E415" s="377"/>
      <c r="F415" s="377"/>
      <c r="G415" s="377"/>
    </row>
    <row r="416" spans="1:7">
      <c r="A416" s="377"/>
      <c r="B416" s="377"/>
      <c r="C416" s="377"/>
      <c r="D416" s="377"/>
      <c r="E416" s="377"/>
      <c r="F416" s="377"/>
      <c r="G416" s="377"/>
    </row>
    <row r="417" spans="1:7">
      <c r="A417" s="377"/>
      <c r="B417" s="377"/>
      <c r="C417" s="377"/>
      <c r="D417" s="377"/>
      <c r="E417" s="377"/>
      <c r="F417" s="377"/>
      <c r="G417" s="377"/>
    </row>
    <row r="418" spans="1:7">
      <c r="A418" s="377"/>
      <c r="B418" s="377"/>
      <c r="C418" s="377"/>
      <c r="D418" s="377"/>
      <c r="E418" s="377"/>
      <c r="F418" s="377"/>
      <c r="G418" s="377"/>
    </row>
    <row r="419" spans="1:7">
      <c r="A419" s="377"/>
      <c r="B419" s="377"/>
      <c r="C419" s="377"/>
      <c r="D419" s="377"/>
      <c r="E419" s="377"/>
      <c r="F419" s="377"/>
      <c r="G419" s="377"/>
    </row>
    <row r="420" spans="1:7">
      <c r="A420" s="377"/>
      <c r="B420" s="377"/>
      <c r="C420" s="377"/>
      <c r="D420" s="377"/>
      <c r="E420" s="377"/>
      <c r="F420" s="377"/>
      <c r="G420" s="377"/>
    </row>
    <row r="421" spans="1:7">
      <c r="A421" s="377"/>
      <c r="B421" s="377"/>
      <c r="C421" s="377"/>
      <c r="D421" s="377"/>
      <c r="E421" s="377"/>
      <c r="F421" s="377"/>
      <c r="G421" s="377"/>
    </row>
    <row r="422" spans="1:7">
      <c r="A422" s="377"/>
      <c r="B422" s="377"/>
      <c r="C422" s="377"/>
      <c r="D422" s="377"/>
      <c r="E422" s="377"/>
      <c r="F422" s="377"/>
      <c r="G422" s="377"/>
    </row>
    <row r="423" spans="1:7">
      <c r="A423" s="377"/>
      <c r="B423" s="377"/>
      <c r="C423" s="377"/>
      <c r="D423" s="377"/>
      <c r="E423" s="377"/>
      <c r="F423" s="377"/>
      <c r="G423" s="377"/>
    </row>
    <row r="424" spans="1:7">
      <c r="A424" s="377"/>
      <c r="B424" s="377"/>
      <c r="C424" s="377"/>
      <c r="D424" s="377"/>
      <c r="E424" s="377"/>
      <c r="F424" s="377"/>
      <c r="G424" s="377"/>
    </row>
    <row r="425" spans="1:7">
      <c r="A425" s="377"/>
      <c r="B425" s="377"/>
      <c r="C425" s="377"/>
      <c r="D425" s="377"/>
      <c r="E425" s="377"/>
      <c r="F425" s="377"/>
      <c r="G425" s="377"/>
    </row>
    <row r="426" spans="1:7">
      <c r="A426" s="377"/>
      <c r="B426" s="377"/>
      <c r="C426" s="377"/>
      <c r="D426" s="377"/>
      <c r="E426" s="377"/>
      <c r="F426" s="377"/>
      <c r="G426" s="377"/>
    </row>
    <row r="427" spans="1:7">
      <c r="A427" s="377"/>
      <c r="B427" s="377"/>
      <c r="C427" s="377"/>
      <c r="D427" s="377"/>
      <c r="E427" s="377"/>
      <c r="F427" s="377"/>
      <c r="G427" s="377"/>
    </row>
    <row r="428" spans="1:7">
      <c r="A428" s="377"/>
      <c r="B428" s="377"/>
      <c r="C428" s="377"/>
      <c r="D428" s="377"/>
      <c r="E428" s="377"/>
      <c r="F428" s="377"/>
      <c r="G428" s="377"/>
    </row>
    <row r="429" spans="1:7">
      <c r="A429" s="377"/>
      <c r="B429" s="377"/>
      <c r="C429" s="377"/>
      <c r="D429" s="377"/>
      <c r="E429" s="377"/>
      <c r="F429" s="377"/>
      <c r="G429" s="377"/>
    </row>
    <row r="430" spans="1:7">
      <c r="A430" s="377"/>
      <c r="B430" s="377"/>
      <c r="C430" s="377"/>
      <c r="D430" s="377"/>
      <c r="E430" s="377"/>
      <c r="F430" s="377"/>
      <c r="G430" s="377"/>
    </row>
    <row r="431" spans="1:7">
      <c r="A431" s="377"/>
      <c r="B431" s="377"/>
      <c r="C431" s="377"/>
      <c r="D431" s="377"/>
      <c r="E431" s="377"/>
      <c r="F431" s="377"/>
      <c r="G431" s="377"/>
    </row>
    <row r="432" spans="1:7">
      <c r="A432" s="377"/>
      <c r="B432" s="377"/>
      <c r="C432" s="377"/>
      <c r="D432" s="377"/>
      <c r="E432" s="377"/>
      <c r="F432" s="377"/>
      <c r="G432" s="377"/>
    </row>
    <row r="433" spans="1:7">
      <c r="A433" s="377"/>
      <c r="B433" s="377"/>
      <c r="C433" s="377"/>
      <c r="D433" s="377"/>
      <c r="E433" s="377"/>
      <c r="F433" s="377"/>
      <c r="G433" s="377"/>
    </row>
    <row r="434" spans="1:7">
      <c r="A434" s="377"/>
      <c r="B434" s="377"/>
      <c r="C434" s="377"/>
      <c r="D434" s="377"/>
      <c r="E434" s="377"/>
      <c r="F434" s="377"/>
      <c r="G434" s="377"/>
    </row>
    <row r="435" spans="1:7">
      <c r="A435" s="377"/>
      <c r="B435" s="377"/>
      <c r="C435" s="377"/>
      <c r="D435" s="377"/>
      <c r="E435" s="377"/>
      <c r="F435" s="377"/>
      <c r="G435" s="377"/>
    </row>
    <row r="436" spans="1:7">
      <c r="A436" s="377"/>
      <c r="B436" s="377"/>
      <c r="C436" s="377"/>
      <c r="D436" s="377"/>
      <c r="E436" s="377"/>
      <c r="F436" s="377"/>
      <c r="G436" s="377"/>
    </row>
    <row r="437" spans="1:7">
      <c r="A437" s="377"/>
      <c r="B437" s="377"/>
      <c r="C437" s="377"/>
      <c r="D437" s="377"/>
      <c r="E437" s="377"/>
      <c r="F437" s="377"/>
      <c r="G437" s="377"/>
    </row>
    <row r="438" spans="1:7">
      <c r="A438" s="377"/>
      <c r="B438" s="377"/>
      <c r="C438" s="377"/>
      <c r="D438" s="377"/>
      <c r="E438" s="377"/>
      <c r="F438" s="377"/>
      <c r="G438" s="377"/>
    </row>
    <row r="439" spans="1:7">
      <c r="A439" s="377"/>
      <c r="B439" s="377"/>
      <c r="C439" s="377"/>
      <c r="D439" s="377"/>
      <c r="E439" s="377"/>
      <c r="F439" s="377"/>
      <c r="G439" s="377"/>
    </row>
    <row r="440" spans="1:7">
      <c r="A440" s="377"/>
      <c r="B440" s="377"/>
      <c r="C440" s="377"/>
      <c r="D440" s="377"/>
      <c r="E440" s="377"/>
      <c r="F440" s="377"/>
      <c r="G440" s="377"/>
    </row>
    <row r="441" spans="1:7">
      <c r="A441" s="377"/>
      <c r="B441" s="377"/>
      <c r="C441" s="377"/>
      <c r="D441" s="377"/>
      <c r="E441" s="377"/>
      <c r="F441" s="377"/>
      <c r="G441" s="377"/>
    </row>
    <row r="442" spans="1:7">
      <c r="A442" s="377"/>
      <c r="B442" s="377"/>
      <c r="C442" s="377"/>
      <c r="D442" s="377"/>
      <c r="E442" s="377"/>
      <c r="F442" s="377"/>
      <c r="G442" s="377"/>
    </row>
    <row r="443" spans="1:7">
      <c r="A443" s="377"/>
      <c r="B443" s="377"/>
      <c r="C443" s="377"/>
      <c r="D443" s="377"/>
      <c r="E443" s="377"/>
      <c r="F443" s="377"/>
      <c r="G443" s="377"/>
    </row>
    <row r="444" spans="1:7">
      <c r="A444" s="377"/>
      <c r="B444" s="377"/>
      <c r="C444" s="377"/>
      <c r="D444" s="377"/>
      <c r="E444" s="377"/>
      <c r="F444" s="377"/>
      <c r="G444" s="377"/>
    </row>
    <row r="445" spans="1:7">
      <c r="A445" s="377"/>
      <c r="B445" s="377"/>
      <c r="C445" s="377"/>
      <c r="D445" s="377"/>
      <c r="E445" s="377"/>
      <c r="F445" s="377"/>
      <c r="G445" s="377"/>
    </row>
    <row r="446" spans="1:7">
      <c r="A446" s="377"/>
      <c r="B446" s="377"/>
      <c r="C446" s="377"/>
      <c r="D446" s="377"/>
      <c r="E446" s="377"/>
      <c r="F446" s="377"/>
      <c r="G446" s="377"/>
    </row>
    <row r="447" spans="1:7">
      <c r="A447" s="377"/>
      <c r="B447" s="377"/>
      <c r="C447" s="377"/>
      <c r="D447" s="377"/>
      <c r="E447" s="377"/>
      <c r="F447" s="377"/>
      <c r="G447" s="377"/>
    </row>
    <row r="448" spans="1:7">
      <c r="A448" s="377"/>
      <c r="B448" s="377"/>
      <c r="C448" s="377"/>
      <c r="D448" s="377"/>
      <c r="E448" s="377"/>
      <c r="F448" s="377"/>
      <c r="G448" s="377"/>
    </row>
    <row r="449" spans="1:7">
      <c r="A449" s="377"/>
      <c r="B449" s="377"/>
      <c r="C449" s="377"/>
      <c r="D449" s="377"/>
      <c r="E449" s="377"/>
      <c r="F449" s="377"/>
      <c r="G449" s="377"/>
    </row>
    <row r="450" spans="1:7">
      <c r="A450" s="377"/>
      <c r="B450" s="377"/>
      <c r="C450" s="377"/>
      <c r="D450" s="377"/>
      <c r="E450" s="377"/>
      <c r="F450" s="377"/>
      <c r="G450" s="377"/>
    </row>
    <row r="451" spans="1:7">
      <c r="A451" s="377"/>
      <c r="B451" s="377"/>
      <c r="C451" s="377"/>
      <c r="D451" s="377"/>
      <c r="E451" s="377"/>
      <c r="F451" s="377"/>
      <c r="G451" s="377"/>
    </row>
    <row r="452" spans="1:7">
      <c r="A452" s="377"/>
      <c r="B452" s="377"/>
      <c r="C452" s="377"/>
      <c r="D452" s="377"/>
      <c r="E452" s="377"/>
      <c r="F452" s="377"/>
      <c r="G452" s="377"/>
    </row>
    <row r="453" spans="1:7">
      <c r="A453" s="377"/>
      <c r="B453" s="377"/>
      <c r="C453" s="377"/>
      <c r="D453" s="377"/>
      <c r="E453" s="377"/>
      <c r="F453" s="377"/>
      <c r="G453" s="377"/>
    </row>
    <row r="454" spans="1:7">
      <c r="A454" s="377"/>
      <c r="B454" s="377"/>
      <c r="C454" s="377"/>
      <c r="D454" s="377"/>
      <c r="E454" s="377"/>
      <c r="F454" s="377"/>
      <c r="G454" s="377"/>
    </row>
    <row r="455" spans="1:7">
      <c r="A455" s="377"/>
      <c r="B455" s="377"/>
      <c r="C455" s="377"/>
      <c r="D455" s="377"/>
      <c r="E455" s="377"/>
      <c r="F455" s="377"/>
      <c r="G455" s="377"/>
    </row>
    <row r="456" spans="1:7">
      <c r="A456" s="377"/>
      <c r="B456" s="377"/>
      <c r="C456" s="377"/>
      <c r="D456" s="377"/>
      <c r="E456" s="377"/>
      <c r="F456" s="377"/>
      <c r="G456" s="377"/>
    </row>
    <row r="457" spans="1:7">
      <c r="A457" s="377"/>
      <c r="B457" s="377"/>
      <c r="C457" s="377"/>
      <c r="D457" s="377"/>
      <c r="E457" s="377"/>
      <c r="F457" s="377"/>
      <c r="G457" s="377"/>
    </row>
    <row r="458" spans="1:7">
      <c r="A458" s="377"/>
      <c r="B458" s="377"/>
      <c r="C458" s="377"/>
      <c r="D458" s="377"/>
      <c r="E458" s="377"/>
      <c r="F458" s="377"/>
      <c r="G458" s="377"/>
    </row>
    <row r="459" spans="1:7">
      <c r="A459" s="377"/>
      <c r="B459" s="377"/>
      <c r="C459" s="377"/>
      <c r="D459" s="377"/>
      <c r="E459" s="377"/>
      <c r="F459" s="377"/>
      <c r="G459" s="377"/>
    </row>
    <row r="460" spans="1:7">
      <c r="A460" s="377"/>
      <c r="B460" s="377"/>
      <c r="C460" s="377"/>
      <c r="D460" s="377"/>
      <c r="E460" s="377"/>
      <c r="F460" s="377"/>
      <c r="G460" s="377"/>
    </row>
    <row r="461" spans="1:7">
      <c r="A461" s="377"/>
      <c r="B461" s="377"/>
      <c r="C461" s="377"/>
      <c r="D461" s="377"/>
      <c r="E461" s="377"/>
      <c r="F461" s="377"/>
      <c r="G461" s="377"/>
    </row>
    <row r="462" spans="1:7">
      <c r="A462" s="377"/>
      <c r="B462" s="377"/>
      <c r="C462" s="377"/>
      <c r="D462" s="377"/>
      <c r="E462" s="377"/>
      <c r="F462" s="377"/>
      <c r="G462" s="377"/>
    </row>
    <row r="463" spans="1:7">
      <c r="A463" s="377"/>
      <c r="B463" s="377"/>
      <c r="C463" s="377"/>
      <c r="D463" s="377"/>
      <c r="E463" s="377"/>
      <c r="F463" s="377"/>
      <c r="G463" s="377"/>
    </row>
    <row r="464" spans="1:7">
      <c r="A464" s="377"/>
      <c r="B464" s="377"/>
      <c r="C464" s="377"/>
      <c r="D464" s="377"/>
      <c r="E464" s="377"/>
      <c r="F464" s="377"/>
      <c r="G464" s="377"/>
    </row>
    <row r="465" spans="1:7">
      <c r="A465" s="377"/>
      <c r="B465" s="377"/>
      <c r="C465" s="377"/>
      <c r="D465" s="377"/>
      <c r="E465" s="377"/>
      <c r="F465" s="377"/>
      <c r="G465" s="377"/>
    </row>
    <row r="466" spans="1:7">
      <c r="A466" s="377"/>
      <c r="B466" s="377"/>
      <c r="C466" s="377"/>
      <c r="D466" s="377"/>
      <c r="E466" s="377"/>
      <c r="F466" s="377"/>
      <c r="G466" s="377"/>
    </row>
    <row r="467" spans="1:7">
      <c r="A467" s="377"/>
      <c r="B467" s="377"/>
      <c r="C467" s="377"/>
      <c r="D467" s="377"/>
      <c r="E467" s="377"/>
      <c r="F467" s="377"/>
      <c r="G467" s="377"/>
    </row>
    <row r="468" spans="1:7">
      <c r="A468" s="377"/>
      <c r="B468" s="377"/>
      <c r="C468" s="377"/>
      <c r="D468" s="377"/>
      <c r="E468" s="377"/>
      <c r="F468" s="377"/>
      <c r="G468" s="377"/>
    </row>
    <row r="469" spans="1:7">
      <c r="A469" s="377"/>
      <c r="B469" s="377"/>
      <c r="C469" s="377"/>
      <c r="D469" s="377"/>
      <c r="E469" s="377"/>
      <c r="F469" s="377"/>
      <c r="G469" s="377"/>
    </row>
    <row r="470" spans="1:7">
      <c r="A470" s="377"/>
      <c r="B470" s="377"/>
      <c r="C470" s="377"/>
      <c r="D470" s="377"/>
      <c r="E470" s="377"/>
      <c r="F470" s="377"/>
      <c r="G470" s="377"/>
    </row>
    <row r="471" spans="1:7">
      <c r="A471" s="377"/>
      <c r="B471" s="377"/>
      <c r="C471" s="377"/>
      <c r="D471" s="377"/>
      <c r="E471" s="377"/>
      <c r="F471" s="377"/>
      <c r="G471" s="377"/>
    </row>
    <row r="472" spans="1:7">
      <c r="A472" s="377"/>
      <c r="B472" s="377"/>
      <c r="C472" s="377"/>
      <c r="D472" s="377"/>
      <c r="E472" s="377"/>
      <c r="F472" s="377"/>
      <c r="G472" s="377"/>
    </row>
    <row r="473" spans="1:7">
      <c r="A473" s="377"/>
      <c r="B473" s="377"/>
      <c r="C473" s="377"/>
      <c r="D473" s="377"/>
      <c r="E473" s="377"/>
      <c r="F473" s="377"/>
      <c r="G473" s="377"/>
    </row>
    <row r="474" spans="1:7">
      <c r="A474" s="377"/>
      <c r="B474" s="377"/>
      <c r="C474" s="377"/>
      <c r="D474" s="377"/>
      <c r="E474" s="377"/>
      <c r="F474" s="377"/>
      <c r="G474" s="377"/>
    </row>
    <row r="475" spans="1:7">
      <c r="A475" s="377"/>
      <c r="B475" s="377"/>
      <c r="C475" s="377"/>
      <c r="D475" s="377"/>
      <c r="E475" s="377"/>
      <c r="F475" s="377"/>
      <c r="G475" s="377"/>
    </row>
    <row r="476" spans="1:7">
      <c r="A476" s="377"/>
      <c r="B476" s="377"/>
      <c r="C476" s="377"/>
      <c r="D476" s="377"/>
      <c r="E476" s="377"/>
      <c r="F476" s="377"/>
      <c r="G476" s="377"/>
    </row>
    <row r="477" spans="1:7">
      <c r="A477" s="377"/>
      <c r="B477" s="377"/>
      <c r="C477" s="377"/>
      <c r="D477" s="377"/>
      <c r="E477" s="377"/>
      <c r="F477" s="377"/>
      <c r="G477" s="377"/>
    </row>
    <row r="478" spans="1:7">
      <c r="A478" s="377"/>
      <c r="B478" s="377"/>
      <c r="C478" s="377"/>
      <c r="D478" s="377"/>
      <c r="E478" s="377"/>
      <c r="F478" s="377"/>
      <c r="G478" s="377"/>
    </row>
    <row r="479" spans="1:7">
      <c r="A479" s="377"/>
      <c r="B479" s="377"/>
      <c r="C479" s="377"/>
      <c r="D479" s="377"/>
      <c r="E479" s="377"/>
      <c r="F479" s="377"/>
      <c r="G479" s="377"/>
    </row>
    <row r="480" spans="1:7">
      <c r="A480" s="377"/>
      <c r="B480" s="377"/>
      <c r="C480" s="377"/>
      <c r="D480" s="377"/>
      <c r="E480" s="377"/>
      <c r="F480" s="377"/>
      <c r="G480" s="377"/>
    </row>
    <row r="481" spans="1:7">
      <c r="A481" s="377"/>
      <c r="B481" s="377"/>
      <c r="C481" s="377"/>
      <c r="D481" s="377"/>
      <c r="E481" s="377"/>
      <c r="F481" s="377"/>
      <c r="G481" s="377"/>
    </row>
    <row r="482" spans="1:7">
      <c r="A482" s="377"/>
      <c r="B482" s="377"/>
      <c r="C482" s="377"/>
      <c r="D482" s="377"/>
      <c r="E482" s="377"/>
      <c r="F482" s="377"/>
      <c r="G482" s="377"/>
    </row>
    <row r="483" spans="1:7">
      <c r="A483" s="377"/>
      <c r="B483" s="377"/>
      <c r="C483" s="377"/>
      <c r="D483" s="377"/>
      <c r="E483" s="377"/>
      <c r="F483" s="377"/>
      <c r="G483" s="377"/>
    </row>
    <row r="484" spans="1:7">
      <c r="A484" s="377"/>
      <c r="B484" s="377"/>
      <c r="C484" s="377"/>
      <c r="D484" s="377"/>
      <c r="E484" s="377"/>
      <c r="F484" s="377"/>
      <c r="G484" s="377"/>
    </row>
    <row r="485" spans="1:7">
      <c r="A485" s="377"/>
      <c r="B485" s="377"/>
      <c r="C485" s="377"/>
      <c r="D485" s="377"/>
      <c r="E485" s="377"/>
      <c r="F485" s="377"/>
      <c r="G485" s="377"/>
    </row>
    <row r="486" spans="1:7">
      <c r="A486" s="377"/>
      <c r="B486" s="377"/>
      <c r="C486" s="377"/>
      <c r="D486" s="377"/>
      <c r="E486" s="377"/>
      <c r="F486" s="377"/>
      <c r="G486" s="377"/>
    </row>
    <row r="487" spans="1:7">
      <c r="A487" s="377"/>
      <c r="B487" s="377"/>
      <c r="C487" s="377"/>
      <c r="D487" s="377"/>
      <c r="E487" s="377"/>
      <c r="F487" s="377"/>
      <c r="G487" s="377"/>
    </row>
    <row r="488" spans="1:7">
      <c r="A488" s="377"/>
      <c r="B488" s="377"/>
      <c r="C488" s="377"/>
      <c r="D488" s="377"/>
      <c r="E488" s="377"/>
      <c r="F488" s="377"/>
      <c r="G488" s="377"/>
    </row>
    <row r="489" spans="1:7">
      <c r="A489" s="377"/>
      <c r="B489" s="377"/>
      <c r="C489" s="377"/>
      <c r="D489" s="377"/>
      <c r="E489" s="377"/>
      <c r="F489" s="377"/>
      <c r="G489" s="377"/>
    </row>
    <row r="490" spans="1:7">
      <c r="A490" s="377"/>
      <c r="B490" s="377"/>
      <c r="C490" s="377"/>
      <c r="D490" s="377"/>
      <c r="E490" s="377"/>
      <c r="F490" s="377"/>
      <c r="G490" s="377"/>
    </row>
    <row r="491" spans="1:7">
      <c r="A491" s="377"/>
      <c r="B491" s="377"/>
      <c r="C491" s="377"/>
      <c r="D491" s="377"/>
      <c r="E491" s="377"/>
      <c r="F491" s="377"/>
      <c r="G491" s="377"/>
    </row>
    <row r="492" spans="1:7">
      <c r="A492" s="377"/>
      <c r="B492" s="377"/>
      <c r="C492" s="377"/>
      <c r="D492" s="377"/>
      <c r="E492" s="377"/>
      <c r="F492" s="377"/>
      <c r="G492" s="377"/>
    </row>
    <row r="493" spans="1:7">
      <c r="A493" s="377"/>
      <c r="B493" s="377"/>
      <c r="C493" s="377"/>
      <c r="D493" s="377"/>
      <c r="E493" s="377"/>
      <c r="F493" s="377"/>
      <c r="G493" s="377"/>
    </row>
    <row r="494" spans="1:7">
      <c r="A494" s="377"/>
      <c r="B494" s="377"/>
      <c r="C494" s="377"/>
      <c r="D494" s="377"/>
      <c r="E494" s="377"/>
      <c r="F494" s="377"/>
      <c r="G494" s="377"/>
    </row>
    <row r="495" spans="1:7">
      <c r="A495" s="377"/>
      <c r="B495" s="377"/>
      <c r="C495" s="377"/>
      <c r="D495" s="377"/>
      <c r="E495" s="377"/>
      <c r="F495" s="377"/>
      <c r="G495" s="377"/>
    </row>
    <row r="496" spans="1:7">
      <c r="A496" s="377"/>
      <c r="B496" s="377"/>
      <c r="C496" s="377"/>
      <c r="D496" s="377"/>
      <c r="E496" s="377"/>
      <c r="F496" s="377"/>
      <c r="G496" s="377"/>
    </row>
    <row r="497" spans="1:7">
      <c r="A497" s="377"/>
      <c r="B497" s="377"/>
      <c r="C497" s="377"/>
      <c r="D497" s="377"/>
      <c r="E497" s="377"/>
      <c r="F497" s="377"/>
      <c r="G497" s="377"/>
    </row>
    <row r="498" spans="1:7">
      <c r="A498" s="377"/>
      <c r="B498" s="377"/>
      <c r="C498" s="377"/>
      <c r="D498" s="377"/>
      <c r="E498" s="377"/>
      <c r="F498" s="377"/>
      <c r="G498" s="377"/>
    </row>
    <row r="499" spans="1:7">
      <c r="A499" s="377"/>
      <c r="B499" s="377"/>
      <c r="C499" s="377"/>
      <c r="D499" s="377"/>
      <c r="E499" s="377"/>
      <c r="F499" s="377"/>
      <c r="G499" s="377"/>
    </row>
    <row r="500" spans="1:7">
      <c r="A500" s="377"/>
      <c r="B500" s="377"/>
      <c r="C500" s="377"/>
      <c r="D500" s="377"/>
      <c r="E500" s="377"/>
      <c r="F500" s="377"/>
      <c r="G500" s="377"/>
    </row>
    <row r="501" spans="1:7">
      <c r="A501" s="377"/>
      <c r="B501" s="377"/>
      <c r="C501" s="377"/>
      <c r="D501" s="377"/>
      <c r="E501" s="377"/>
      <c r="F501" s="377"/>
      <c r="G501" s="377"/>
    </row>
    <row r="502" spans="1:7">
      <c r="A502" s="377"/>
      <c r="B502" s="377"/>
      <c r="C502" s="377"/>
      <c r="D502" s="377"/>
      <c r="E502" s="377"/>
      <c r="F502" s="377"/>
      <c r="G502" s="377"/>
    </row>
    <row r="503" spans="1:7">
      <c r="A503" s="377"/>
      <c r="B503" s="377"/>
      <c r="C503" s="377"/>
      <c r="D503" s="377"/>
      <c r="E503" s="377"/>
      <c r="F503" s="377"/>
      <c r="G503" s="377"/>
    </row>
    <row r="504" spans="1:7">
      <c r="A504" s="377"/>
      <c r="B504" s="377"/>
      <c r="C504" s="377"/>
      <c r="D504" s="377"/>
      <c r="E504" s="377"/>
      <c r="F504" s="377"/>
      <c r="G504" s="377"/>
    </row>
    <row r="505" spans="1:7">
      <c r="A505" s="377"/>
      <c r="B505" s="377"/>
      <c r="C505" s="377"/>
      <c r="D505" s="377"/>
      <c r="E505" s="377"/>
      <c r="F505" s="377"/>
      <c r="G505" s="377"/>
    </row>
    <row r="506" spans="1:7">
      <c r="A506" s="377"/>
      <c r="B506" s="377"/>
      <c r="C506" s="377"/>
      <c r="D506" s="377"/>
      <c r="E506" s="377"/>
      <c r="F506" s="377"/>
      <c r="G506" s="377"/>
    </row>
    <row r="507" spans="1:7">
      <c r="A507" s="377"/>
      <c r="B507" s="377"/>
      <c r="C507" s="377"/>
      <c r="D507" s="377"/>
      <c r="E507" s="377"/>
      <c r="F507" s="377"/>
      <c r="G507" s="377"/>
    </row>
    <row r="508" spans="1:7">
      <c r="A508" s="377"/>
      <c r="B508" s="377"/>
      <c r="C508" s="377"/>
      <c r="D508" s="377"/>
      <c r="E508" s="377"/>
      <c r="F508" s="377"/>
      <c r="G508" s="377"/>
    </row>
    <row r="509" spans="1:7">
      <c r="A509" s="377"/>
      <c r="B509" s="377"/>
      <c r="C509" s="377"/>
      <c r="D509" s="377"/>
      <c r="E509" s="377"/>
      <c r="F509" s="377"/>
      <c r="G509" s="377"/>
    </row>
    <row r="510" spans="1:7">
      <c r="A510" s="377"/>
      <c r="B510" s="377"/>
      <c r="C510" s="377"/>
      <c r="D510" s="377"/>
      <c r="E510" s="377"/>
      <c r="F510" s="377"/>
      <c r="G510" s="377"/>
    </row>
    <row r="511" spans="1:7">
      <c r="A511" s="377"/>
      <c r="B511" s="377"/>
      <c r="C511" s="377"/>
      <c r="D511" s="377"/>
      <c r="E511" s="377"/>
      <c r="F511" s="377"/>
      <c r="G511" s="377"/>
    </row>
    <row r="512" spans="1:7">
      <c r="A512" s="377"/>
      <c r="B512" s="377"/>
      <c r="C512" s="377"/>
      <c r="D512" s="377"/>
      <c r="E512" s="377"/>
      <c r="F512" s="377"/>
      <c r="G512" s="377"/>
    </row>
    <row r="513" spans="1:7">
      <c r="A513" s="377"/>
      <c r="B513" s="377"/>
      <c r="C513" s="377"/>
      <c r="D513" s="377"/>
      <c r="E513" s="377"/>
      <c r="F513" s="377"/>
      <c r="G513" s="377"/>
    </row>
    <row r="514" spans="1:7">
      <c r="A514" s="377"/>
      <c r="B514" s="377"/>
      <c r="C514" s="377"/>
      <c r="D514" s="377"/>
      <c r="E514" s="377"/>
      <c r="F514" s="377"/>
      <c r="G514" s="377"/>
    </row>
    <row r="515" spans="1:7">
      <c r="A515" s="377"/>
      <c r="B515" s="377"/>
      <c r="C515" s="377"/>
      <c r="D515" s="377"/>
      <c r="E515" s="377"/>
      <c r="F515" s="377"/>
      <c r="G515" s="377"/>
    </row>
    <row r="516" spans="1:7">
      <c r="A516" s="377"/>
      <c r="B516" s="377"/>
      <c r="C516" s="377"/>
      <c r="D516" s="377"/>
      <c r="E516" s="377"/>
      <c r="F516" s="377"/>
      <c r="G516" s="377"/>
    </row>
    <row r="517" spans="1:7">
      <c r="A517" s="377"/>
      <c r="B517" s="377"/>
      <c r="C517" s="377"/>
      <c r="D517" s="377"/>
      <c r="E517" s="377"/>
      <c r="F517" s="377"/>
      <c r="G517" s="377"/>
    </row>
    <row r="518" spans="1:7">
      <c r="A518" s="377"/>
      <c r="B518" s="377"/>
      <c r="C518" s="377"/>
      <c r="D518" s="377"/>
      <c r="E518" s="377"/>
      <c r="F518" s="377"/>
      <c r="G518" s="377"/>
    </row>
    <row r="519" spans="1:7">
      <c r="A519" s="377"/>
      <c r="B519" s="377"/>
      <c r="C519" s="377"/>
      <c r="D519" s="377"/>
      <c r="E519" s="377"/>
      <c r="F519" s="377"/>
      <c r="G519" s="377"/>
    </row>
    <row r="520" spans="1:7">
      <c r="A520" s="377"/>
      <c r="B520" s="377"/>
      <c r="C520" s="377"/>
      <c r="D520" s="377"/>
      <c r="E520" s="377"/>
      <c r="F520" s="377"/>
      <c r="G520" s="377"/>
    </row>
    <row r="521" spans="1:7">
      <c r="A521" s="377"/>
      <c r="B521" s="377"/>
      <c r="C521" s="377"/>
      <c r="D521" s="377"/>
      <c r="E521" s="377"/>
      <c r="F521" s="377"/>
      <c r="G521" s="377"/>
    </row>
    <row r="522" spans="1:7">
      <c r="A522" s="377"/>
      <c r="B522" s="377"/>
      <c r="C522" s="377"/>
      <c r="D522" s="377"/>
      <c r="E522" s="377"/>
      <c r="F522" s="377"/>
      <c r="G522" s="377"/>
    </row>
    <row r="523" spans="1:7">
      <c r="A523" s="377"/>
      <c r="B523" s="377"/>
      <c r="C523" s="377"/>
      <c r="D523" s="377"/>
      <c r="E523" s="377"/>
      <c r="F523" s="377"/>
      <c r="G523" s="377"/>
    </row>
    <row r="524" spans="1:7">
      <c r="A524" s="377"/>
      <c r="B524" s="377"/>
      <c r="C524" s="377"/>
      <c r="D524" s="377"/>
      <c r="E524" s="377"/>
      <c r="F524" s="377"/>
      <c r="G524" s="377"/>
    </row>
    <row r="525" spans="1:7">
      <c r="A525" s="377"/>
      <c r="B525" s="377"/>
      <c r="C525" s="377"/>
      <c r="D525" s="377"/>
      <c r="E525" s="377"/>
      <c r="F525" s="377"/>
      <c r="G525" s="377"/>
    </row>
    <row r="526" spans="1:7">
      <c r="A526" s="377"/>
      <c r="B526" s="377"/>
      <c r="C526" s="377"/>
      <c r="D526" s="377"/>
      <c r="E526" s="377"/>
      <c r="F526" s="377"/>
      <c r="G526" s="377"/>
    </row>
    <row r="527" spans="1:7">
      <c r="A527" s="377"/>
      <c r="B527" s="377"/>
      <c r="C527" s="377"/>
      <c r="D527" s="377"/>
      <c r="E527" s="377"/>
      <c r="F527" s="377"/>
      <c r="G527" s="377"/>
    </row>
    <row r="528" spans="1:7">
      <c r="A528" s="377"/>
      <c r="B528" s="377"/>
      <c r="C528" s="377"/>
      <c r="D528" s="377"/>
      <c r="E528" s="377"/>
      <c r="F528" s="377"/>
      <c r="G528" s="377"/>
    </row>
    <row r="529" spans="1:7">
      <c r="A529" s="377"/>
      <c r="B529" s="377"/>
      <c r="C529" s="377"/>
      <c r="D529" s="377"/>
      <c r="E529" s="377"/>
      <c r="F529" s="377"/>
      <c r="G529" s="377"/>
    </row>
    <row r="530" spans="1:7">
      <c r="A530" s="377"/>
      <c r="B530" s="377"/>
      <c r="C530" s="377"/>
      <c r="D530" s="377"/>
      <c r="E530" s="377"/>
      <c r="F530" s="377"/>
      <c r="G530" s="377"/>
    </row>
    <row r="531" spans="1:7">
      <c r="A531" s="377"/>
      <c r="B531" s="377"/>
      <c r="C531" s="377"/>
      <c r="D531" s="377"/>
      <c r="E531" s="377"/>
      <c r="F531" s="377"/>
      <c r="G531" s="377"/>
    </row>
    <row r="532" spans="1:7">
      <c r="A532" s="377"/>
      <c r="B532" s="377"/>
      <c r="C532" s="377"/>
      <c r="D532" s="377"/>
      <c r="E532" s="377"/>
      <c r="F532" s="377"/>
      <c r="G532" s="377"/>
    </row>
    <row r="533" spans="1:7">
      <c r="A533" s="377"/>
      <c r="B533" s="377"/>
      <c r="C533" s="377"/>
      <c r="D533" s="377"/>
      <c r="E533" s="377"/>
      <c r="F533" s="377"/>
      <c r="G533" s="377"/>
    </row>
    <row r="534" spans="1:7">
      <c r="A534" s="377"/>
      <c r="B534" s="377"/>
      <c r="C534" s="377"/>
      <c r="D534" s="377"/>
      <c r="E534" s="377"/>
      <c r="F534" s="377"/>
      <c r="G534" s="377"/>
    </row>
    <row r="535" spans="1:7">
      <c r="A535" s="377"/>
      <c r="B535" s="377"/>
      <c r="C535" s="377"/>
      <c r="D535" s="377"/>
      <c r="E535" s="377"/>
      <c r="F535" s="377"/>
      <c r="G535" s="377"/>
    </row>
    <row r="536" spans="1:7">
      <c r="A536" s="377"/>
      <c r="B536" s="377"/>
      <c r="C536" s="377"/>
      <c r="D536" s="377"/>
      <c r="E536" s="377"/>
      <c r="F536" s="377"/>
      <c r="G536" s="377"/>
    </row>
    <row r="537" spans="1:7">
      <c r="A537" s="377"/>
      <c r="B537" s="377"/>
      <c r="C537" s="377"/>
      <c r="D537" s="377"/>
      <c r="E537" s="377"/>
      <c r="F537" s="377"/>
      <c r="G537" s="377"/>
    </row>
    <row r="538" spans="1:7">
      <c r="A538" s="377"/>
      <c r="B538" s="377"/>
      <c r="C538" s="377"/>
      <c r="D538" s="377"/>
      <c r="E538" s="377"/>
      <c r="F538" s="377"/>
      <c r="G538" s="377"/>
    </row>
    <row r="539" spans="1:7">
      <c r="A539" s="377"/>
      <c r="B539" s="377"/>
      <c r="C539" s="377"/>
      <c r="D539" s="377"/>
      <c r="E539" s="377"/>
      <c r="F539" s="377"/>
      <c r="G539" s="377"/>
    </row>
    <row r="540" spans="1:7">
      <c r="A540" s="377"/>
      <c r="B540" s="377"/>
      <c r="C540" s="377"/>
      <c r="D540" s="377"/>
      <c r="E540" s="377"/>
      <c r="F540" s="377"/>
      <c r="G540" s="377"/>
    </row>
    <row r="541" spans="1:7">
      <c r="A541" s="377"/>
      <c r="B541" s="377"/>
      <c r="C541" s="377"/>
      <c r="D541" s="377"/>
      <c r="E541" s="377"/>
      <c r="F541" s="377"/>
      <c r="G541" s="377"/>
    </row>
    <row r="542" spans="1:7">
      <c r="A542" s="377"/>
      <c r="B542" s="377"/>
      <c r="C542" s="377"/>
      <c r="D542" s="377"/>
      <c r="E542" s="377"/>
      <c r="F542" s="377"/>
      <c r="G542" s="377"/>
    </row>
    <row r="543" spans="1:7">
      <c r="A543" s="377"/>
      <c r="B543" s="377"/>
      <c r="C543" s="377"/>
      <c r="D543" s="377"/>
      <c r="E543" s="377"/>
      <c r="F543" s="377"/>
      <c r="G543" s="377"/>
    </row>
    <row r="544" spans="1:7">
      <c r="A544" s="377"/>
      <c r="B544" s="377"/>
      <c r="C544" s="377"/>
      <c r="D544" s="377"/>
      <c r="E544" s="377"/>
      <c r="F544" s="377"/>
      <c r="G544" s="377"/>
    </row>
    <row r="545" spans="1:7">
      <c r="A545" s="377"/>
      <c r="B545" s="377"/>
      <c r="C545" s="377"/>
      <c r="D545" s="377"/>
      <c r="E545" s="377"/>
      <c r="F545" s="377"/>
      <c r="G545" s="377"/>
    </row>
    <row r="546" spans="1:7">
      <c r="A546" s="377"/>
      <c r="B546" s="377"/>
      <c r="C546" s="377"/>
      <c r="D546" s="377"/>
      <c r="E546" s="377"/>
      <c r="F546" s="377"/>
      <c r="G546" s="377"/>
    </row>
    <row r="547" spans="1:7">
      <c r="A547" s="377"/>
      <c r="B547" s="377"/>
      <c r="C547" s="377"/>
      <c r="D547" s="377"/>
      <c r="E547" s="377"/>
      <c r="F547" s="377"/>
      <c r="G547" s="377"/>
    </row>
    <row r="548" spans="1:7">
      <c r="A548" s="377"/>
      <c r="B548" s="377"/>
      <c r="C548" s="377"/>
      <c r="D548" s="377"/>
      <c r="E548" s="377"/>
      <c r="F548" s="377"/>
      <c r="G548" s="377"/>
    </row>
    <row r="549" spans="1:7">
      <c r="A549" s="377"/>
      <c r="B549" s="377"/>
      <c r="C549" s="377"/>
      <c r="D549" s="377"/>
      <c r="E549" s="377"/>
      <c r="F549" s="377"/>
      <c r="G549" s="377"/>
    </row>
    <row r="550" spans="1:7">
      <c r="A550" s="377"/>
      <c r="B550" s="377"/>
      <c r="C550" s="377"/>
      <c r="D550" s="377"/>
      <c r="E550" s="377"/>
      <c r="F550" s="377"/>
      <c r="G550" s="377"/>
    </row>
    <row r="551" spans="1:7">
      <c r="A551" s="377"/>
      <c r="B551" s="377"/>
      <c r="C551" s="377"/>
      <c r="D551" s="377"/>
      <c r="E551" s="377"/>
      <c r="F551" s="377"/>
      <c r="G551" s="377"/>
    </row>
    <row r="552" spans="1:7">
      <c r="A552" s="377"/>
      <c r="B552" s="377"/>
      <c r="C552" s="377"/>
      <c r="D552" s="377"/>
      <c r="E552" s="377"/>
      <c r="F552" s="377"/>
      <c r="G552" s="377"/>
    </row>
    <row r="553" spans="1:7">
      <c r="A553" s="377"/>
      <c r="B553" s="377"/>
      <c r="C553" s="377"/>
      <c r="D553" s="377"/>
      <c r="E553" s="377"/>
      <c r="F553" s="377"/>
      <c r="G553" s="377"/>
    </row>
    <row r="554" spans="1:7">
      <c r="A554" s="377"/>
      <c r="B554" s="377"/>
      <c r="C554" s="377"/>
      <c r="D554" s="377"/>
      <c r="E554" s="377"/>
      <c r="F554" s="377"/>
      <c r="G554" s="377"/>
    </row>
    <row r="555" spans="1:7">
      <c r="A555" s="377"/>
      <c r="B555" s="377"/>
      <c r="C555" s="377"/>
      <c r="D555" s="377"/>
      <c r="E555" s="377"/>
      <c r="F555" s="377"/>
      <c r="G555" s="377"/>
    </row>
    <row r="556" spans="1:7">
      <c r="A556" s="377"/>
      <c r="B556" s="377"/>
      <c r="C556" s="377"/>
      <c r="D556" s="377"/>
      <c r="E556" s="377"/>
      <c r="F556" s="377"/>
      <c r="G556" s="377"/>
    </row>
    <row r="557" spans="1:7">
      <c r="A557" s="377"/>
      <c r="B557" s="377"/>
      <c r="C557" s="377"/>
      <c r="D557" s="377"/>
      <c r="E557" s="377"/>
      <c r="F557" s="377"/>
      <c r="G557" s="377"/>
    </row>
    <row r="558" spans="1:7">
      <c r="A558" s="377"/>
      <c r="B558" s="377"/>
      <c r="C558" s="377"/>
      <c r="D558" s="377"/>
      <c r="E558" s="377"/>
      <c r="F558" s="377"/>
      <c r="G558" s="377"/>
    </row>
    <row r="559" spans="1:7">
      <c r="A559" s="377"/>
      <c r="B559" s="377"/>
      <c r="C559" s="377"/>
      <c r="D559" s="377"/>
      <c r="E559" s="377"/>
      <c r="F559" s="377"/>
      <c r="G559" s="377"/>
    </row>
    <row r="560" spans="1:7">
      <c r="A560" s="377"/>
      <c r="B560" s="377"/>
      <c r="C560" s="377"/>
      <c r="D560" s="377"/>
      <c r="E560" s="377"/>
      <c r="F560" s="377"/>
      <c r="G560" s="377"/>
    </row>
    <row r="561" spans="1:7">
      <c r="A561" s="377"/>
      <c r="B561" s="377"/>
      <c r="C561" s="377"/>
      <c r="D561" s="377"/>
      <c r="E561" s="377"/>
      <c r="F561" s="377"/>
      <c r="G561" s="377"/>
    </row>
    <row r="562" spans="1:7">
      <c r="A562" s="377"/>
      <c r="B562" s="377"/>
      <c r="C562" s="377"/>
      <c r="D562" s="377"/>
      <c r="E562" s="377"/>
      <c r="F562" s="377"/>
      <c r="G562" s="377"/>
    </row>
    <row r="563" spans="1:7">
      <c r="A563" s="377"/>
      <c r="B563" s="377"/>
      <c r="C563" s="377"/>
      <c r="D563" s="377"/>
      <c r="E563" s="377"/>
      <c r="F563" s="377"/>
      <c r="G563" s="377"/>
    </row>
    <row r="564" spans="1:7">
      <c r="A564" s="377"/>
      <c r="B564" s="377"/>
      <c r="C564" s="377"/>
      <c r="D564" s="377"/>
      <c r="E564" s="377"/>
      <c r="F564" s="377"/>
      <c r="G564" s="377"/>
    </row>
    <row r="565" spans="1:7">
      <c r="A565" s="377"/>
      <c r="B565" s="377"/>
      <c r="C565" s="377"/>
      <c r="D565" s="377"/>
      <c r="E565" s="377"/>
      <c r="F565" s="377"/>
      <c r="G565" s="377"/>
    </row>
    <row r="566" spans="1:7">
      <c r="A566" s="377"/>
      <c r="B566" s="377"/>
      <c r="C566" s="377"/>
      <c r="D566" s="377"/>
      <c r="E566" s="377"/>
      <c r="F566" s="377"/>
      <c r="G566" s="377"/>
    </row>
    <row r="567" spans="1:7">
      <c r="A567" s="377"/>
      <c r="B567" s="377"/>
      <c r="C567" s="377"/>
      <c r="D567" s="377"/>
      <c r="E567" s="377"/>
      <c r="F567" s="377"/>
      <c r="G567" s="377"/>
    </row>
    <row r="568" spans="1:7">
      <c r="A568" s="377"/>
      <c r="B568" s="377"/>
      <c r="C568" s="377"/>
      <c r="D568" s="377"/>
      <c r="E568" s="377"/>
      <c r="F568" s="377"/>
      <c r="G568" s="377"/>
    </row>
    <row r="569" spans="1:7">
      <c r="A569" s="377"/>
      <c r="B569" s="377"/>
      <c r="C569" s="377"/>
      <c r="D569" s="377"/>
      <c r="E569" s="377"/>
      <c r="F569" s="377"/>
      <c r="G569" s="377"/>
    </row>
    <row r="570" spans="1:7">
      <c r="A570" s="377"/>
      <c r="B570" s="377"/>
      <c r="C570" s="377"/>
      <c r="D570" s="377"/>
      <c r="E570" s="377"/>
      <c r="F570" s="377"/>
      <c r="G570" s="377"/>
    </row>
    <row r="571" spans="1:7">
      <c r="A571" s="377"/>
      <c r="B571" s="377"/>
      <c r="C571" s="377"/>
      <c r="D571" s="377"/>
      <c r="E571" s="377"/>
      <c r="F571" s="377"/>
      <c r="G571" s="377"/>
    </row>
    <row r="572" spans="1:7">
      <c r="A572" s="377"/>
      <c r="B572" s="377"/>
      <c r="C572" s="377"/>
      <c r="D572" s="377"/>
      <c r="E572" s="377"/>
      <c r="F572" s="377"/>
      <c r="G572" s="377"/>
    </row>
    <row r="573" spans="1:7">
      <c r="A573" s="377"/>
      <c r="B573" s="377"/>
      <c r="C573" s="377"/>
      <c r="D573" s="377"/>
      <c r="E573" s="377"/>
      <c r="F573" s="377"/>
      <c r="G573" s="377"/>
    </row>
    <row r="574" spans="1:7">
      <c r="A574" s="377"/>
      <c r="B574" s="377"/>
      <c r="C574" s="377"/>
      <c r="D574" s="377"/>
      <c r="E574" s="377"/>
      <c r="F574" s="377"/>
      <c r="G574" s="377"/>
    </row>
    <row r="575" spans="1:7">
      <c r="A575" s="377"/>
      <c r="B575" s="377"/>
      <c r="C575" s="377"/>
      <c r="D575" s="377"/>
      <c r="E575" s="377"/>
      <c r="F575" s="377"/>
      <c r="G575" s="377"/>
    </row>
    <row r="576" spans="1:7">
      <c r="A576" s="377"/>
      <c r="B576" s="377"/>
      <c r="C576" s="377"/>
      <c r="D576" s="377"/>
      <c r="E576" s="377"/>
      <c r="F576" s="377"/>
      <c r="G576" s="377"/>
    </row>
    <row r="577" spans="1:7">
      <c r="A577" s="377"/>
      <c r="B577" s="377"/>
      <c r="C577" s="377"/>
      <c r="D577" s="377"/>
      <c r="E577" s="377"/>
      <c r="F577" s="377"/>
      <c r="G577" s="377"/>
    </row>
    <row r="578" spans="1:7">
      <c r="A578" s="377"/>
      <c r="B578" s="377"/>
      <c r="C578" s="377"/>
      <c r="D578" s="377"/>
      <c r="E578" s="377"/>
      <c r="F578" s="377"/>
      <c r="G578" s="377"/>
    </row>
    <row r="579" spans="1:7">
      <c r="A579" s="377"/>
      <c r="B579" s="377"/>
      <c r="C579" s="377"/>
      <c r="D579" s="377"/>
      <c r="E579" s="377"/>
      <c r="F579" s="377"/>
      <c r="G579" s="377"/>
    </row>
    <row r="580" spans="1:7">
      <c r="A580" s="377"/>
      <c r="B580" s="377"/>
      <c r="C580" s="377"/>
      <c r="D580" s="377"/>
      <c r="E580" s="377"/>
      <c r="F580" s="377"/>
      <c r="G580" s="377"/>
    </row>
    <row r="581" spans="1:7">
      <c r="A581" s="377"/>
      <c r="B581" s="377"/>
      <c r="C581" s="377"/>
      <c r="D581" s="377"/>
      <c r="E581" s="377"/>
      <c r="F581" s="377"/>
      <c r="G581" s="377"/>
    </row>
    <row r="582" spans="1:7">
      <c r="A582" s="377"/>
      <c r="B582" s="377"/>
      <c r="C582" s="377"/>
      <c r="D582" s="377"/>
      <c r="E582" s="377"/>
      <c r="F582" s="377"/>
      <c r="G582" s="377"/>
    </row>
    <row r="583" spans="1:7">
      <c r="A583" s="377"/>
      <c r="B583" s="377"/>
      <c r="C583" s="377"/>
      <c r="D583" s="377"/>
      <c r="E583" s="377"/>
      <c r="F583" s="377"/>
      <c r="G583" s="377"/>
    </row>
    <row r="584" spans="1:7">
      <c r="A584" s="377"/>
      <c r="B584" s="377"/>
      <c r="C584" s="377"/>
      <c r="D584" s="377"/>
      <c r="E584" s="377"/>
      <c r="F584" s="377"/>
      <c r="G584" s="377"/>
    </row>
    <row r="585" spans="1:7">
      <c r="A585" s="377"/>
      <c r="B585" s="377"/>
      <c r="C585" s="377"/>
      <c r="D585" s="377"/>
      <c r="E585" s="377"/>
      <c r="F585" s="377"/>
      <c r="G585" s="377"/>
    </row>
    <row r="586" spans="1:7">
      <c r="A586" s="377"/>
      <c r="B586" s="377"/>
      <c r="C586" s="377"/>
      <c r="D586" s="377"/>
      <c r="E586" s="377"/>
      <c r="F586" s="377"/>
      <c r="G586" s="377"/>
    </row>
    <row r="587" spans="1:7">
      <c r="A587" s="377"/>
      <c r="B587" s="377"/>
      <c r="C587" s="377"/>
      <c r="D587" s="377"/>
      <c r="E587" s="377"/>
      <c r="F587" s="377"/>
      <c r="G587" s="377"/>
    </row>
    <row r="588" spans="1:7">
      <c r="A588" s="377"/>
      <c r="B588" s="377"/>
      <c r="C588" s="377"/>
      <c r="D588" s="377"/>
      <c r="E588" s="377"/>
      <c r="F588" s="377"/>
      <c r="G588" s="377"/>
    </row>
    <row r="589" spans="1:7">
      <c r="A589" s="377"/>
      <c r="B589" s="377"/>
      <c r="C589" s="377"/>
      <c r="D589" s="377"/>
      <c r="E589" s="377"/>
      <c r="F589" s="377"/>
      <c r="G589" s="377"/>
    </row>
    <row r="590" spans="1:7">
      <c r="A590" s="377"/>
      <c r="B590" s="377"/>
      <c r="C590" s="377"/>
      <c r="D590" s="377"/>
      <c r="E590" s="377"/>
      <c r="F590" s="377"/>
      <c r="G590" s="377"/>
    </row>
    <row r="591" spans="1:7">
      <c r="A591" s="377"/>
      <c r="B591" s="377"/>
      <c r="C591" s="377"/>
      <c r="D591" s="377"/>
      <c r="E591" s="377"/>
      <c r="F591" s="377"/>
      <c r="G591" s="377"/>
    </row>
    <row r="592" spans="1:7">
      <c r="A592" s="377"/>
      <c r="B592" s="377"/>
      <c r="C592" s="377"/>
      <c r="D592" s="377"/>
      <c r="E592" s="377"/>
      <c r="F592" s="377"/>
      <c r="G592" s="377"/>
    </row>
    <row r="593" spans="1:7">
      <c r="A593" s="377"/>
      <c r="B593" s="377"/>
      <c r="C593" s="377"/>
      <c r="D593" s="377"/>
      <c r="E593" s="377"/>
      <c r="F593" s="377"/>
      <c r="G593" s="377"/>
    </row>
    <row r="594" spans="1:7">
      <c r="A594" s="377"/>
      <c r="B594" s="377"/>
      <c r="C594" s="377"/>
      <c r="D594" s="377"/>
      <c r="E594" s="377"/>
      <c r="F594" s="377"/>
      <c r="G594" s="377"/>
    </row>
    <row r="595" spans="1:7">
      <c r="A595" s="377"/>
      <c r="B595" s="377"/>
      <c r="C595" s="377"/>
      <c r="D595" s="377"/>
      <c r="E595" s="377"/>
      <c r="F595" s="377"/>
      <c r="G595" s="377"/>
    </row>
    <row r="596" spans="1:7">
      <c r="A596" s="377"/>
      <c r="B596" s="377"/>
      <c r="C596" s="377"/>
      <c r="D596" s="377"/>
      <c r="E596" s="377"/>
      <c r="F596" s="377"/>
      <c r="G596" s="377"/>
    </row>
    <row r="597" spans="1:7">
      <c r="A597" s="377"/>
      <c r="B597" s="377"/>
      <c r="C597" s="377"/>
      <c r="D597" s="377"/>
      <c r="E597" s="377"/>
      <c r="F597" s="377"/>
      <c r="G597" s="377"/>
    </row>
    <row r="598" spans="1:7">
      <c r="A598" s="377"/>
      <c r="B598" s="377"/>
      <c r="C598" s="377"/>
      <c r="D598" s="377"/>
      <c r="E598" s="377"/>
      <c r="F598" s="377"/>
      <c r="G598" s="377"/>
    </row>
    <row r="599" spans="1:7">
      <c r="A599" s="377"/>
      <c r="B599" s="377"/>
      <c r="C599" s="377"/>
      <c r="D599" s="377"/>
      <c r="E599" s="377"/>
      <c r="F599" s="377"/>
      <c r="G599" s="377"/>
    </row>
    <row r="600" spans="1:7">
      <c r="A600" s="377"/>
      <c r="B600" s="377"/>
      <c r="C600" s="377"/>
      <c r="D600" s="377"/>
      <c r="E600" s="377"/>
      <c r="F600" s="377"/>
      <c r="G600" s="377"/>
    </row>
    <row r="601" spans="1:7">
      <c r="A601" s="377"/>
      <c r="B601" s="377"/>
      <c r="C601" s="377"/>
      <c r="D601" s="377"/>
      <c r="E601" s="377"/>
      <c r="F601" s="377"/>
      <c r="G601" s="377"/>
    </row>
    <row r="602" spans="1:7">
      <c r="A602" s="377"/>
      <c r="B602" s="377"/>
      <c r="C602" s="377"/>
      <c r="D602" s="377"/>
      <c r="E602" s="377"/>
      <c r="F602" s="377"/>
      <c r="G602" s="377"/>
    </row>
    <row r="603" spans="1:7">
      <c r="A603" s="377"/>
      <c r="B603" s="377"/>
      <c r="C603" s="377"/>
      <c r="D603" s="377"/>
      <c r="E603" s="377"/>
      <c r="F603" s="377"/>
      <c r="G603" s="377"/>
    </row>
    <row r="604" spans="1:7">
      <c r="A604" s="377"/>
      <c r="B604" s="377"/>
      <c r="C604" s="377"/>
      <c r="D604" s="377"/>
      <c r="E604" s="377"/>
      <c r="F604" s="377"/>
      <c r="G604" s="377"/>
    </row>
    <row r="605" spans="1:7">
      <c r="A605" s="377"/>
      <c r="B605" s="377"/>
      <c r="C605" s="377"/>
      <c r="D605" s="377"/>
      <c r="E605" s="377"/>
      <c r="F605" s="377"/>
      <c r="G605" s="377"/>
    </row>
    <row r="606" spans="1:7">
      <c r="A606" s="377"/>
      <c r="B606" s="377"/>
      <c r="C606" s="377"/>
      <c r="D606" s="377"/>
      <c r="E606" s="377"/>
      <c r="F606" s="377"/>
      <c r="G606" s="377"/>
    </row>
    <row r="607" spans="1:7">
      <c r="A607" s="377"/>
      <c r="B607" s="377"/>
      <c r="C607" s="377"/>
      <c r="D607" s="377"/>
      <c r="E607" s="377"/>
      <c r="F607" s="377"/>
      <c r="G607" s="377"/>
    </row>
    <row r="608" spans="1:7">
      <c r="A608" s="377"/>
      <c r="B608" s="377"/>
      <c r="C608" s="377"/>
      <c r="D608" s="377"/>
      <c r="E608" s="377"/>
      <c r="F608" s="377"/>
      <c r="G608" s="377"/>
    </row>
    <row r="609" spans="1:7">
      <c r="A609" s="377"/>
      <c r="B609" s="377"/>
      <c r="C609" s="377"/>
      <c r="D609" s="377"/>
      <c r="E609" s="377"/>
      <c r="F609" s="377"/>
      <c r="G609" s="377"/>
    </row>
    <row r="610" spans="1:7">
      <c r="A610" s="377"/>
      <c r="B610" s="377"/>
      <c r="C610" s="377"/>
      <c r="D610" s="377"/>
      <c r="E610" s="377"/>
      <c r="F610" s="377"/>
      <c r="G610" s="377"/>
    </row>
    <row r="611" spans="1:7">
      <c r="A611" s="377"/>
      <c r="B611" s="377"/>
      <c r="C611" s="377"/>
      <c r="D611" s="377"/>
      <c r="E611" s="377"/>
      <c r="F611" s="377"/>
      <c r="G611" s="377"/>
    </row>
    <row r="612" spans="1:7">
      <c r="A612" s="377"/>
      <c r="B612" s="377"/>
      <c r="C612" s="377"/>
      <c r="D612" s="377"/>
      <c r="E612" s="377"/>
      <c r="F612" s="377"/>
      <c r="G612" s="377"/>
    </row>
    <row r="613" spans="1:7">
      <c r="A613" s="377"/>
      <c r="B613" s="377"/>
      <c r="C613" s="377"/>
      <c r="D613" s="377"/>
      <c r="E613" s="377"/>
      <c r="F613" s="377"/>
      <c r="G613" s="377"/>
    </row>
    <row r="614" spans="1:7">
      <c r="A614" s="377"/>
      <c r="B614" s="377"/>
      <c r="C614" s="377"/>
      <c r="D614" s="377"/>
      <c r="E614" s="377"/>
      <c r="F614" s="377"/>
      <c r="G614" s="377"/>
    </row>
    <row r="615" spans="1:7">
      <c r="A615" s="377"/>
      <c r="B615" s="377"/>
      <c r="C615" s="377"/>
      <c r="D615" s="377"/>
      <c r="E615" s="377"/>
      <c r="F615" s="377"/>
      <c r="G615" s="377"/>
    </row>
    <row r="616" spans="1:7">
      <c r="A616" s="377"/>
      <c r="B616" s="377"/>
      <c r="C616" s="377"/>
      <c r="D616" s="377"/>
      <c r="E616" s="377"/>
      <c r="F616" s="377"/>
      <c r="G616" s="377"/>
    </row>
    <row r="617" spans="1:7">
      <c r="A617" s="377"/>
      <c r="B617" s="377"/>
      <c r="C617" s="377"/>
      <c r="D617" s="377"/>
      <c r="E617" s="377"/>
      <c r="F617" s="377"/>
      <c r="G617" s="377"/>
    </row>
    <row r="618" spans="1:7">
      <c r="A618" s="377"/>
      <c r="B618" s="377"/>
      <c r="C618" s="377"/>
      <c r="D618" s="377"/>
      <c r="E618" s="377"/>
      <c r="F618" s="377"/>
      <c r="G618" s="377"/>
    </row>
    <row r="619" spans="1:7">
      <c r="A619" s="377"/>
      <c r="B619" s="377"/>
      <c r="C619" s="377"/>
      <c r="D619" s="377"/>
      <c r="E619" s="377"/>
      <c r="F619" s="377"/>
      <c r="G619" s="377"/>
    </row>
    <row r="620" spans="1:7">
      <c r="A620" s="377"/>
      <c r="B620" s="377"/>
      <c r="C620" s="377"/>
      <c r="D620" s="377"/>
      <c r="E620" s="377"/>
      <c r="F620" s="377"/>
      <c r="G620" s="377"/>
    </row>
    <row r="621" spans="1:7">
      <c r="A621" s="377"/>
      <c r="B621" s="377"/>
      <c r="C621" s="377"/>
      <c r="D621" s="377"/>
      <c r="E621" s="377"/>
      <c r="F621" s="377"/>
      <c r="G621" s="377"/>
    </row>
    <row r="622" spans="1:7">
      <c r="A622" s="377"/>
      <c r="B622" s="377"/>
      <c r="C622" s="377"/>
      <c r="D622" s="377"/>
      <c r="E622" s="377"/>
      <c r="F622" s="377"/>
      <c r="G622" s="377"/>
    </row>
    <row r="623" spans="1:7">
      <c r="A623" s="377"/>
      <c r="B623" s="377"/>
      <c r="C623" s="377"/>
      <c r="D623" s="377"/>
      <c r="E623" s="377"/>
      <c r="F623" s="377"/>
      <c r="G623" s="377"/>
    </row>
    <row r="624" spans="1:7">
      <c r="A624" s="377"/>
      <c r="B624" s="377"/>
      <c r="C624" s="377"/>
      <c r="D624" s="377"/>
      <c r="E624" s="377"/>
      <c r="F624" s="377"/>
      <c r="G624" s="377"/>
    </row>
    <row r="625" spans="1:7">
      <c r="A625" s="377"/>
      <c r="B625" s="377"/>
      <c r="C625" s="377"/>
      <c r="D625" s="377"/>
      <c r="E625" s="377"/>
      <c r="F625" s="377"/>
      <c r="G625" s="377"/>
    </row>
    <row r="626" spans="1:7">
      <c r="A626" s="377"/>
      <c r="B626" s="377"/>
      <c r="C626" s="377"/>
      <c r="D626" s="377"/>
      <c r="E626" s="377"/>
      <c r="F626" s="377"/>
      <c r="G626" s="377"/>
    </row>
    <row r="627" spans="1:7">
      <c r="A627" s="377"/>
      <c r="B627" s="377"/>
      <c r="C627" s="377"/>
      <c r="D627" s="377"/>
      <c r="E627" s="377"/>
      <c r="F627" s="377"/>
      <c r="G627" s="377"/>
    </row>
    <row r="628" spans="1:7">
      <c r="A628" s="377"/>
      <c r="B628" s="377"/>
      <c r="C628" s="377"/>
      <c r="D628" s="377"/>
      <c r="E628" s="377"/>
      <c r="F628" s="377"/>
      <c r="G628" s="377"/>
    </row>
    <row r="629" spans="1:7">
      <c r="A629" s="377"/>
      <c r="B629" s="377"/>
      <c r="C629" s="377"/>
      <c r="D629" s="377"/>
      <c r="E629" s="377"/>
      <c r="F629" s="377"/>
      <c r="G629" s="377"/>
    </row>
    <row r="630" spans="1:7">
      <c r="A630" s="377"/>
      <c r="B630" s="377"/>
      <c r="C630" s="377"/>
      <c r="D630" s="377"/>
      <c r="E630" s="377"/>
      <c r="F630" s="377"/>
      <c r="G630" s="377"/>
    </row>
    <row r="631" spans="1:7">
      <c r="A631" s="377"/>
      <c r="B631" s="377"/>
      <c r="C631" s="377"/>
      <c r="D631" s="377"/>
      <c r="E631" s="377"/>
      <c r="F631" s="377"/>
      <c r="G631" s="377"/>
    </row>
    <row r="632" spans="1:7">
      <c r="A632" s="377"/>
      <c r="B632" s="377"/>
      <c r="C632" s="377"/>
      <c r="D632" s="377"/>
      <c r="E632" s="377"/>
      <c r="F632" s="377"/>
      <c r="G632" s="377"/>
    </row>
    <row r="633" spans="1:7">
      <c r="A633" s="377"/>
      <c r="B633" s="377"/>
      <c r="C633" s="377"/>
      <c r="D633" s="377"/>
      <c r="E633" s="377"/>
      <c r="F633" s="377"/>
      <c r="G633" s="377"/>
    </row>
    <row r="634" spans="1:7">
      <c r="A634" s="377"/>
      <c r="B634" s="377"/>
      <c r="C634" s="377"/>
      <c r="D634" s="377"/>
      <c r="E634" s="377"/>
      <c r="F634" s="377"/>
      <c r="G634" s="377"/>
    </row>
    <row r="635" spans="1:7">
      <c r="A635" s="377"/>
      <c r="B635" s="377"/>
      <c r="C635" s="377"/>
      <c r="D635" s="377"/>
      <c r="E635" s="377"/>
      <c r="F635" s="377"/>
      <c r="G635" s="377"/>
    </row>
    <row r="636" spans="1:7">
      <c r="A636" s="377"/>
      <c r="B636" s="377"/>
      <c r="C636" s="377"/>
      <c r="D636" s="377"/>
      <c r="E636" s="377"/>
      <c r="F636" s="377"/>
      <c r="G636" s="377"/>
    </row>
    <row r="637" spans="1:7">
      <c r="A637" s="377"/>
      <c r="B637" s="377"/>
      <c r="C637" s="377"/>
      <c r="D637" s="377"/>
      <c r="E637" s="377"/>
      <c r="F637" s="377"/>
      <c r="G637" s="377"/>
    </row>
    <row r="638" spans="1:7">
      <c r="A638" s="377"/>
      <c r="B638" s="377"/>
      <c r="C638" s="377"/>
      <c r="D638" s="377"/>
      <c r="E638" s="377"/>
      <c r="F638" s="377"/>
      <c r="G638" s="377"/>
    </row>
    <row r="639" spans="1:7">
      <c r="A639" s="377"/>
      <c r="B639" s="377"/>
      <c r="C639" s="377"/>
      <c r="D639" s="377"/>
      <c r="E639" s="377"/>
      <c r="F639" s="377"/>
      <c r="G639" s="377"/>
    </row>
    <row r="640" spans="1:7">
      <c r="A640" s="377"/>
      <c r="B640" s="377"/>
      <c r="C640" s="377"/>
      <c r="D640" s="377"/>
      <c r="E640" s="377"/>
      <c r="F640" s="377"/>
      <c r="G640" s="377"/>
    </row>
    <row r="641" spans="1:7">
      <c r="A641" s="377"/>
      <c r="B641" s="377"/>
      <c r="C641" s="377"/>
      <c r="D641" s="377"/>
      <c r="E641" s="377"/>
      <c r="F641" s="377"/>
      <c r="G641" s="377"/>
    </row>
    <row r="642" spans="1:7">
      <c r="A642" s="377"/>
      <c r="B642" s="377"/>
      <c r="C642" s="377"/>
      <c r="D642" s="377"/>
      <c r="E642" s="377"/>
      <c r="F642" s="377"/>
      <c r="G642" s="377"/>
    </row>
    <row r="643" spans="1:7">
      <c r="A643" s="377"/>
      <c r="B643" s="377"/>
      <c r="C643" s="377"/>
      <c r="D643" s="377"/>
      <c r="E643" s="377"/>
      <c r="F643" s="377"/>
      <c r="G643" s="377"/>
    </row>
    <row r="644" spans="1:7">
      <c r="A644" s="377"/>
      <c r="B644" s="377"/>
      <c r="C644" s="377"/>
      <c r="D644" s="377"/>
      <c r="E644" s="377"/>
      <c r="F644" s="377"/>
      <c r="G644" s="377"/>
    </row>
    <row r="645" spans="1:7">
      <c r="A645" s="377"/>
      <c r="B645" s="377"/>
      <c r="C645" s="377"/>
      <c r="D645" s="377"/>
      <c r="E645" s="377"/>
      <c r="F645" s="377"/>
      <c r="G645" s="377"/>
    </row>
    <row r="646" spans="1:7">
      <c r="A646" s="377"/>
      <c r="B646" s="377"/>
      <c r="C646" s="377"/>
      <c r="D646" s="377"/>
      <c r="E646" s="377"/>
      <c r="F646" s="377"/>
      <c r="G646" s="377"/>
    </row>
    <row r="647" spans="1:7">
      <c r="A647" s="377"/>
      <c r="B647" s="377"/>
      <c r="C647" s="377"/>
      <c r="D647" s="377"/>
      <c r="E647" s="377"/>
      <c r="F647" s="377"/>
      <c r="G647" s="377"/>
    </row>
    <row r="648" spans="1:7">
      <c r="A648" s="377"/>
      <c r="B648" s="377"/>
      <c r="C648" s="377"/>
      <c r="D648" s="377"/>
      <c r="E648" s="377"/>
      <c r="F648" s="377"/>
      <c r="G648" s="377"/>
    </row>
    <row r="649" spans="1:7">
      <c r="A649" s="377"/>
      <c r="B649" s="377"/>
      <c r="C649" s="377"/>
      <c r="D649" s="377"/>
      <c r="E649" s="377"/>
      <c r="F649" s="377"/>
      <c r="G649" s="377"/>
    </row>
    <row r="650" spans="1:7">
      <c r="A650" s="377"/>
      <c r="B650" s="377"/>
      <c r="C650" s="377"/>
      <c r="D650" s="377"/>
      <c r="E650" s="377"/>
      <c r="F650" s="377"/>
      <c r="G650" s="377"/>
    </row>
    <row r="651" spans="1:7">
      <c r="A651" s="377"/>
      <c r="B651" s="377"/>
      <c r="C651" s="377"/>
      <c r="D651" s="377"/>
      <c r="E651" s="377"/>
      <c r="F651" s="377"/>
      <c r="G651" s="377"/>
    </row>
    <row r="652" spans="1:7">
      <c r="A652" s="377"/>
      <c r="B652" s="377"/>
      <c r="C652" s="377"/>
      <c r="D652" s="377"/>
      <c r="E652" s="377"/>
      <c r="F652" s="377"/>
      <c r="G652" s="377"/>
    </row>
    <row r="653" spans="1:7">
      <c r="A653" s="377"/>
      <c r="B653" s="377"/>
      <c r="C653" s="377"/>
      <c r="D653" s="377"/>
      <c r="E653" s="377"/>
      <c r="F653" s="377"/>
      <c r="G653" s="377"/>
    </row>
    <row r="654" spans="1:7">
      <c r="A654" s="377"/>
      <c r="B654" s="377"/>
      <c r="C654" s="377"/>
      <c r="D654" s="377"/>
      <c r="E654" s="377"/>
      <c r="F654" s="377"/>
      <c r="G654" s="377"/>
    </row>
    <row r="655" spans="1:7">
      <c r="A655" s="377"/>
      <c r="B655" s="377"/>
      <c r="C655" s="377"/>
      <c r="D655" s="377"/>
      <c r="E655" s="377"/>
      <c r="F655" s="377"/>
      <c r="G655" s="377"/>
    </row>
    <row r="656" spans="1:7">
      <c r="A656" s="377"/>
      <c r="B656" s="377"/>
      <c r="C656" s="377"/>
      <c r="D656" s="377"/>
      <c r="E656" s="377"/>
      <c r="F656" s="377"/>
      <c r="G656" s="377"/>
    </row>
    <row r="657" spans="1:7">
      <c r="A657" s="377"/>
      <c r="B657" s="377"/>
      <c r="C657" s="377"/>
      <c r="D657" s="377"/>
      <c r="E657" s="377"/>
      <c r="F657" s="377"/>
      <c r="G657" s="377"/>
    </row>
    <row r="658" spans="1:7">
      <c r="A658" s="377"/>
      <c r="B658" s="377"/>
      <c r="C658" s="377"/>
      <c r="D658" s="377"/>
      <c r="E658" s="377"/>
      <c r="F658" s="377"/>
      <c r="G658" s="377"/>
    </row>
    <row r="659" spans="1:7">
      <c r="A659" s="377"/>
      <c r="B659" s="377"/>
      <c r="C659" s="377"/>
      <c r="D659" s="377"/>
      <c r="E659" s="377"/>
      <c r="F659" s="377"/>
      <c r="G659" s="377"/>
    </row>
    <row r="660" spans="1:7">
      <c r="A660" s="377"/>
      <c r="B660" s="377"/>
      <c r="C660" s="377"/>
      <c r="D660" s="377"/>
      <c r="E660" s="377"/>
      <c r="F660" s="377"/>
      <c r="G660" s="377"/>
    </row>
    <row r="661" spans="1:7">
      <c r="A661" s="377"/>
      <c r="B661" s="377"/>
      <c r="C661" s="377"/>
      <c r="D661" s="377"/>
      <c r="E661" s="377"/>
      <c r="F661" s="377"/>
      <c r="G661" s="377"/>
    </row>
    <row r="662" spans="1:7">
      <c r="A662" s="377"/>
      <c r="B662" s="377"/>
      <c r="C662" s="377"/>
      <c r="D662" s="377"/>
      <c r="E662" s="377"/>
      <c r="F662" s="377"/>
      <c r="G662" s="377"/>
    </row>
    <row r="663" spans="1:7">
      <c r="A663" s="377"/>
      <c r="B663" s="377"/>
      <c r="C663" s="377"/>
      <c r="D663" s="377"/>
      <c r="E663" s="377"/>
      <c r="F663" s="377"/>
      <c r="G663" s="377"/>
    </row>
    <row r="664" spans="1:7">
      <c r="A664" s="377"/>
      <c r="B664" s="377"/>
      <c r="C664" s="377"/>
      <c r="D664" s="377"/>
      <c r="E664" s="377"/>
      <c r="F664" s="377"/>
      <c r="G664" s="377"/>
    </row>
    <row r="665" spans="1:7">
      <c r="A665" s="377"/>
      <c r="B665" s="377"/>
      <c r="C665" s="377"/>
      <c r="D665" s="377"/>
      <c r="E665" s="377"/>
      <c r="F665" s="377"/>
      <c r="G665" s="377"/>
    </row>
    <row r="666" spans="1:7">
      <c r="A666" s="377"/>
      <c r="B666" s="377"/>
      <c r="C666" s="377"/>
      <c r="D666" s="377"/>
      <c r="E666" s="377"/>
      <c r="F666" s="377"/>
      <c r="G666" s="377"/>
    </row>
    <row r="667" spans="1:7">
      <c r="A667" s="377"/>
      <c r="B667" s="377"/>
      <c r="C667" s="377"/>
      <c r="D667" s="377"/>
      <c r="E667" s="377"/>
      <c r="F667" s="377"/>
      <c r="G667" s="377"/>
    </row>
    <row r="668" spans="1:7">
      <c r="A668" s="377"/>
      <c r="B668" s="377"/>
      <c r="C668" s="377"/>
      <c r="D668" s="377"/>
      <c r="E668" s="377"/>
      <c r="F668" s="377"/>
      <c r="G668" s="377"/>
    </row>
    <row r="669" spans="1:7">
      <c r="A669" s="377"/>
      <c r="B669" s="377"/>
      <c r="C669" s="377"/>
      <c r="D669" s="377"/>
      <c r="E669" s="377"/>
      <c r="F669" s="377"/>
      <c r="G669" s="377"/>
    </row>
    <row r="670" spans="1:7">
      <c r="A670" s="377"/>
      <c r="B670" s="377"/>
      <c r="C670" s="377"/>
      <c r="D670" s="377"/>
      <c r="E670" s="377"/>
      <c r="F670" s="377"/>
      <c r="G670" s="377"/>
    </row>
    <row r="671" spans="1:7">
      <c r="A671" s="377"/>
      <c r="B671" s="377"/>
      <c r="C671" s="377"/>
      <c r="D671" s="377"/>
      <c r="E671" s="377"/>
      <c r="F671" s="377"/>
      <c r="G671" s="377"/>
    </row>
    <row r="672" spans="1:7">
      <c r="A672" s="377"/>
      <c r="B672" s="377"/>
      <c r="C672" s="377"/>
      <c r="D672" s="377"/>
      <c r="E672" s="377"/>
      <c r="F672" s="377"/>
      <c r="G672" s="377"/>
    </row>
    <row r="673" spans="1:7">
      <c r="A673" s="377"/>
      <c r="B673" s="377"/>
      <c r="C673" s="377"/>
      <c r="D673" s="377"/>
      <c r="E673" s="377"/>
      <c r="F673" s="377"/>
      <c r="G673" s="377"/>
    </row>
    <row r="674" spans="1:7">
      <c r="A674" s="377"/>
      <c r="B674" s="377"/>
      <c r="C674" s="377"/>
      <c r="D674" s="377"/>
      <c r="E674" s="377"/>
      <c r="F674" s="377"/>
      <c r="G674" s="377"/>
    </row>
    <row r="675" spans="1:7">
      <c r="A675" s="377"/>
      <c r="B675" s="377"/>
      <c r="C675" s="377"/>
      <c r="D675" s="377"/>
      <c r="E675" s="377"/>
      <c r="F675" s="377"/>
      <c r="G675" s="377"/>
    </row>
    <row r="676" spans="1:7">
      <c r="A676" s="377"/>
      <c r="B676" s="377"/>
      <c r="C676" s="377"/>
      <c r="D676" s="377"/>
      <c r="E676" s="377"/>
      <c r="F676" s="377"/>
      <c r="G676" s="377"/>
    </row>
    <row r="677" spans="1:7">
      <c r="A677" s="377"/>
      <c r="B677" s="377"/>
      <c r="C677" s="377"/>
      <c r="D677" s="377"/>
      <c r="E677" s="377"/>
      <c r="F677" s="377"/>
      <c r="G677" s="377"/>
    </row>
    <row r="678" spans="1:7">
      <c r="A678" s="377"/>
      <c r="B678" s="377"/>
      <c r="C678" s="377"/>
      <c r="D678" s="377"/>
      <c r="E678" s="377"/>
      <c r="F678" s="377"/>
      <c r="G678" s="377"/>
    </row>
    <row r="679" spans="1:7">
      <c r="A679" s="377"/>
      <c r="B679" s="377"/>
      <c r="C679" s="377"/>
      <c r="D679" s="377"/>
      <c r="E679" s="377"/>
      <c r="F679" s="377"/>
      <c r="G679" s="377"/>
    </row>
    <row r="680" spans="1:7">
      <c r="A680" s="377"/>
      <c r="B680" s="377"/>
      <c r="C680" s="377"/>
      <c r="D680" s="377"/>
      <c r="E680" s="377"/>
      <c r="F680" s="377"/>
      <c r="G680" s="377"/>
    </row>
    <row r="681" spans="1:7">
      <c r="A681" s="377"/>
      <c r="B681" s="377"/>
      <c r="C681" s="377"/>
      <c r="D681" s="377"/>
      <c r="E681" s="377"/>
      <c r="F681" s="377"/>
      <c r="G681" s="377"/>
    </row>
    <row r="682" spans="1:7">
      <c r="A682" s="377"/>
      <c r="B682" s="377"/>
      <c r="C682" s="377"/>
      <c r="D682" s="377"/>
      <c r="E682" s="377"/>
      <c r="F682" s="377"/>
      <c r="G682" s="377"/>
    </row>
    <row r="683" spans="1:7">
      <c r="A683" s="377"/>
      <c r="B683" s="377"/>
      <c r="C683" s="377"/>
      <c r="D683" s="377"/>
      <c r="E683" s="377"/>
      <c r="F683" s="377"/>
      <c r="G683" s="377"/>
    </row>
    <row r="684" spans="1:7">
      <c r="A684" s="377"/>
      <c r="B684" s="377"/>
      <c r="C684" s="377"/>
      <c r="D684" s="377"/>
      <c r="E684" s="377"/>
      <c r="F684" s="377"/>
      <c r="G684" s="377"/>
    </row>
    <row r="685" spans="1:7">
      <c r="A685" s="377"/>
      <c r="B685" s="377"/>
      <c r="C685" s="377"/>
      <c r="D685" s="377"/>
      <c r="E685" s="377"/>
      <c r="F685" s="377"/>
      <c r="G685" s="377"/>
    </row>
    <row r="686" spans="1:7">
      <c r="A686" s="377"/>
      <c r="B686" s="377"/>
      <c r="C686" s="377"/>
      <c r="D686" s="377"/>
      <c r="E686" s="377"/>
      <c r="F686" s="377"/>
      <c r="G686" s="377"/>
    </row>
    <row r="687" spans="1:7">
      <c r="A687" s="377"/>
      <c r="B687" s="377"/>
      <c r="C687" s="377"/>
      <c r="D687" s="377"/>
      <c r="E687" s="377"/>
      <c r="F687" s="377"/>
      <c r="G687" s="377"/>
    </row>
    <row r="688" spans="1:7">
      <c r="A688" s="377"/>
      <c r="B688" s="377"/>
      <c r="C688" s="377"/>
      <c r="D688" s="377"/>
      <c r="E688" s="377"/>
      <c r="F688" s="377"/>
      <c r="G688" s="377"/>
    </row>
    <row r="689" spans="1:7">
      <c r="A689" s="377"/>
      <c r="B689" s="377"/>
      <c r="C689" s="377"/>
      <c r="D689" s="377"/>
      <c r="E689" s="377"/>
      <c r="F689" s="377"/>
      <c r="G689" s="377"/>
    </row>
    <row r="690" spans="1:7">
      <c r="A690" s="377"/>
      <c r="B690" s="377"/>
      <c r="C690" s="377"/>
      <c r="D690" s="377"/>
      <c r="E690" s="377"/>
      <c r="F690" s="377"/>
      <c r="G690" s="377"/>
    </row>
    <row r="691" spans="1:7">
      <c r="A691" s="377"/>
      <c r="B691" s="377"/>
      <c r="C691" s="377"/>
      <c r="D691" s="377"/>
      <c r="E691" s="377"/>
      <c r="F691" s="377"/>
      <c r="G691" s="377"/>
    </row>
    <row r="692" spans="1:7">
      <c r="A692" s="377"/>
      <c r="B692" s="377"/>
      <c r="C692" s="377"/>
      <c r="D692" s="377"/>
      <c r="E692" s="377"/>
      <c r="F692" s="377"/>
      <c r="G692" s="377"/>
    </row>
    <row r="693" spans="1:7">
      <c r="A693" s="377"/>
      <c r="B693" s="377"/>
      <c r="C693" s="377"/>
      <c r="D693" s="377"/>
      <c r="E693" s="377"/>
      <c r="F693" s="377"/>
      <c r="G693" s="377"/>
    </row>
    <row r="694" spans="1:7">
      <c r="A694" s="377"/>
      <c r="B694" s="377"/>
      <c r="C694" s="377"/>
      <c r="D694" s="377"/>
      <c r="E694" s="377"/>
      <c r="F694" s="377"/>
      <c r="G694" s="377"/>
    </row>
    <row r="695" spans="1:7">
      <c r="A695" s="377"/>
      <c r="B695" s="377"/>
      <c r="C695" s="377"/>
      <c r="D695" s="377"/>
      <c r="E695" s="377"/>
      <c r="F695" s="377"/>
      <c r="G695" s="377"/>
    </row>
    <row r="696" spans="1:7">
      <c r="A696" s="377"/>
      <c r="B696" s="377"/>
      <c r="C696" s="377"/>
      <c r="D696" s="377"/>
      <c r="E696" s="377"/>
      <c r="F696" s="377"/>
      <c r="G696" s="377"/>
    </row>
    <row r="697" spans="1:7">
      <c r="A697" s="377"/>
      <c r="B697" s="377"/>
      <c r="C697" s="377"/>
      <c r="D697" s="377"/>
      <c r="E697" s="377"/>
      <c r="F697" s="377"/>
      <c r="G697" s="377"/>
    </row>
    <row r="698" spans="1:7">
      <c r="A698" s="377"/>
      <c r="B698" s="377"/>
      <c r="C698" s="377"/>
      <c r="D698" s="377"/>
      <c r="E698" s="377"/>
      <c r="F698" s="377"/>
      <c r="G698" s="377"/>
    </row>
    <row r="699" spans="1:7">
      <c r="A699" s="377"/>
      <c r="B699" s="377"/>
      <c r="C699" s="377"/>
      <c r="D699" s="377"/>
      <c r="E699" s="377"/>
      <c r="F699" s="377"/>
      <c r="G699" s="377"/>
    </row>
    <row r="700" spans="1:7">
      <c r="A700" s="377"/>
      <c r="B700" s="377"/>
      <c r="C700" s="377"/>
      <c r="D700" s="377"/>
      <c r="E700" s="377"/>
      <c r="F700" s="377"/>
      <c r="G700" s="377"/>
    </row>
    <row r="701" spans="1:7">
      <c r="A701" s="377"/>
      <c r="B701" s="377"/>
      <c r="C701" s="377"/>
      <c r="D701" s="377"/>
      <c r="E701" s="377"/>
      <c r="F701" s="377"/>
      <c r="G701" s="377"/>
    </row>
    <row r="702" spans="1:7">
      <c r="A702" s="377"/>
      <c r="B702" s="377"/>
      <c r="C702" s="377"/>
      <c r="D702" s="377"/>
      <c r="E702" s="377"/>
      <c r="F702" s="377"/>
      <c r="G702" s="377"/>
    </row>
    <row r="703" spans="1:7">
      <c r="A703" s="377"/>
      <c r="B703" s="377"/>
      <c r="C703" s="377"/>
      <c r="D703" s="377"/>
      <c r="E703" s="377"/>
      <c r="F703" s="377"/>
      <c r="G703" s="377"/>
    </row>
    <row r="704" spans="1:7">
      <c r="A704" s="377"/>
      <c r="B704" s="377"/>
      <c r="C704" s="377"/>
      <c r="D704" s="377"/>
      <c r="E704" s="377"/>
      <c r="F704" s="377"/>
      <c r="G704" s="377"/>
    </row>
    <row r="705" spans="1:7">
      <c r="A705" s="377"/>
      <c r="B705" s="377"/>
      <c r="C705" s="377"/>
      <c r="D705" s="377"/>
      <c r="E705" s="377"/>
      <c r="F705" s="377"/>
      <c r="G705" s="377"/>
    </row>
    <row r="706" spans="1:7">
      <c r="A706" s="377"/>
      <c r="B706" s="377"/>
      <c r="C706" s="377"/>
      <c r="D706" s="377"/>
      <c r="E706" s="377"/>
      <c r="F706" s="377"/>
      <c r="G706" s="377"/>
    </row>
    <row r="707" spans="1:7">
      <c r="A707" s="377"/>
      <c r="B707" s="377"/>
      <c r="C707" s="377"/>
      <c r="D707" s="377"/>
      <c r="E707" s="377"/>
      <c r="F707" s="377"/>
      <c r="G707" s="377"/>
    </row>
    <row r="708" spans="1:7">
      <c r="A708" s="377"/>
      <c r="B708" s="377"/>
      <c r="C708" s="377"/>
      <c r="D708" s="377"/>
      <c r="E708" s="377"/>
      <c r="F708" s="377"/>
      <c r="G708" s="377"/>
    </row>
    <row r="709" spans="1:7">
      <c r="A709" s="377"/>
      <c r="B709" s="377"/>
      <c r="C709" s="377"/>
      <c r="D709" s="377"/>
      <c r="E709" s="377"/>
      <c r="F709" s="377"/>
      <c r="G709" s="377"/>
    </row>
    <row r="710" spans="1:7">
      <c r="A710" s="377"/>
      <c r="B710" s="377"/>
      <c r="C710" s="377"/>
      <c r="D710" s="377"/>
      <c r="E710" s="377"/>
      <c r="F710" s="377"/>
      <c r="G710" s="377"/>
    </row>
    <row r="711" spans="1:7">
      <c r="A711" s="377"/>
      <c r="B711" s="377"/>
      <c r="C711" s="377"/>
      <c r="D711" s="377"/>
      <c r="E711" s="377"/>
      <c r="F711" s="377"/>
      <c r="G711" s="377"/>
    </row>
    <row r="712" spans="1:7">
      <c r="A712" s="377"/>
      <c r="B712" s="377"/>
      <c r="C712" s="377"/>
      <c r="D712" s="377"/>
      <c r="E712" s="377"/>
      <c r="F712" s="377"/>
      <c r="G712" s="377"/>
    </row>
    <row r="713" spans="1:7">
      <c r="A713" s="377"/>
      <c r="B713" s="377"/>
      <c r="C713" s="377"/>
      <c r="D713" s="377"/>
      <c r="E713" s="377"/>
      <c r="F713" s="377"/>
      <c r="G713" s="377"/>
    </row>
    <row r="714" spans="1:7">
      <c r="A714" s="377"/>
      <c r="B714" s="377"/>
      <c r="C714" s="377"/>
      <c r="D714" s="377"/>
      <c r="E714" s="377"/>
      <c r="F714" s="377"/>
      <c r="G714" s="377"/>
    </row>
    <row r="715" spans="1:7">
      <c r="A715" s="377"/>
      <c r="B715" s="377"/>
      <c r="C715" s="377"/>
      <c r="D715" s="377"/>
      <c r="E715" s="377"/>
      <c r="F715" s="377"/>
      <c r="G715" s="377"/>
    </row>
    <row r="716" spans="1:7">
      <c r="A716" s="377"/>
      <c r="B716" s="377"/>
      <c r="C716" s="377"/>
      <c r="D716" s="377"/>
      <c r="E716" s="377"/>
      <c r="F716" s="377"/>
      <c r="G716" s="377"/>
    </row>
    <row r="717" spans="1:7">
      <c r="A717" s="377"/>
      <c r="B717" s="377"/>
      <c r="C717" s="377"/>
      <c r="D717" s="377"/>
      <c r="E717" s="377"/>
      <c r="F717" s="377"/>
      <c r="G717" s="377"/>
    </row>
    <row r="718" spans="1:7">
      <c r="A718" s="377"/>
      <c r="B718" s="377"/>
      <c r="C718" s="377"/>
      <c r="D718" s="377"/>
      <c r="E718" s="377"/>
      <c r="F718" s="377"/>
      <c r="G718" s="377"/>
    </row>
    <row r="719" spans="1:7">
      <c r="A719" s="377"/>
      <c r="B719" s="377"/>
      <c r="C719" s="377"/>
      <c r="D719" s="377"/>
      <c r="E719" s="377"/>
      <c r="F719" s="377"/>
      <c r="G719" s="377"/>
    </row>
    <row r="720" spans="1:7">
      <c r="A720" s="377"/>
      <c r="B720" s="377"/>
      <c r="C720" s="377"/>
      <c r="D720" s="377"/>
      <c r="E720" s="377"/>
      <c r="F720" s="377"/>
      <c r="G720" s="377"/>
    </row>
    <row r="721" spans="1:7">
      <c r="A721" s="377"/>
      <c r="B721" s="377"/>
      <c r="C721" s="377"/>
      <c r="D721" s="377"/>
      <c r="E721" s="377"/>
      <c r="F721" s="377"/>
      <c r="G721" s="377"/>
    </row>
    <row r="722" spans="1:7">
      <c r="A722" s="377"/>
      <c r="B722" s="377"/>
      <c r="C722" s="377"/>
      <c r="D722" s="377"/>
      <c r="E722" s="377"/>
      <c r="F722" s="377"/>
      <c r="G722" s="377"/>
    </row>
    <row r="723" spans="1:7">
      <c r="A723" s="377"/>
      <c r="B723" s="377"/>
      <c r="C723" s="377"/>
      <c r="D723" s="377"/>
      <c r="E723" s="377"/>
      <c r="F723" s="377"/>
      <c r="G723" s="377"/>
    </row>
    <row r="724" spans="1:7">
      <c r="A724" s="377"/>
      <c r="B724" s="377"/>
      <c r="C724" s="377"/>
      <c r="D724" s="377"/>
      <c r="E724" s="377"/>
      <c r="F724" s="377"/>
      <c r="G724" s="377"/>
    </row>
    <row r="725" spans="1:7">
      <c r="A725" s="377"/>
      <c r="B725" s="377"/>
      <c r="C725" s="377"/>
      <c r="D725" s="377"/>
      <c r="E725" s="377"/>
      <c r="F725" s="377"/>
      <c r="G725" s="377"/>
    </row>
    <row r="726" spans="1:7">
      <c r="A726" s="377"/>
      <c r="B726" s="377"/>
      <c r="C726" s="377"/>
      <c r="D726" s="377"/>
      <c r="E726" s="377"/>
      <c r="F726" s="377"/>
      <c r="G726" s="377"/>
    </row>
    <row r="727" spans="1:7">
      <c r="A727" s="377"/>
      <c r="B727" s="377"/>
      <c r="C727" s="377"/>
      <c r="D727" s="377"/>
      <c r="E727" s="377"/>
      <c r="F727" s="377"/>
      <c r="G727" s="377"/>
    </row>
    <row r="728" spans="1:7">
      <c r="A728" s="377"/>
      <c r="B728" s="377"/>
      <c r="C728" s="377"/>
      <c r="D728" s="377"/>
      <c r="E728" s="377"/>
      <c r="F728" s="377"/>
      <c r="G728" s="377"/>
    </row>
    <row r="729" spans="1:7">
      <c r="A729" s="377"/>
      <c r="B729" s="377"/>
      <c r="C729" s="377"/>
      <c r="D729" s="377"/>
      <c r="E729" s="377"/>
      <c r="F729" s="377"/>
      <c r="G729" s="377"/>
    </row>
    <row r="730" spans="1:7">
      <c r="A730" s="377"/>
      <c r="B730" s="377"/>
      <c r="C730" s="377"/>
      <c r="D730" s="377"/>
      <c r="E730" s="377"/>
      <c r="F730" s="377"/>
      <c r="G730" s="377"/>
    </row>
    <row r="731" spans="1:7">
      <c r="A731" s="377"/>
      <c r="B731" s="377"/>
      <c r="C731" s="377"/>
      <c r="D731" s="377"/>
      <c r="E731" s="377"/>
      <c r="F731" s="377"/>
      <c r="G731" s="377"/>
    </row>
    <row r="732" spans="1:7">
      <c r="A732" s="377"/>
      <c r="B732" s="377"/>
      <c r="C732" s="377"/>
      <c r="D732" s="377"/>
      <c r="E732" s="377"/>
      <c r="F732" s="377"/>
      <c r="G732" s="377"/>
    </row>
    <row r="733" spans="1:7">
      <c r="A733" s="377"/>
      <c r="B733" s="377"/>
      <c r="C733" s="377"/>
      <c r="D733" s="377"/>
      <c r="E733" s="377"/>
      <c r="F733" s="377"/>
      <c r="G733" s="377"/>
    </row>
    <row r="734" spans="1:7">
      <c r="A734" s="377"/>
      <c r="B734" s="377"/>
      <c r="C734" s="377"/>
      <c r="D734" s="377"/>
      <c r="E734" s="377"/>
      <c r="F734" s="377"/>
      <c r="G734" s="377"/>
    </row>
    <row r="735" spans="1:7">
      <c r="A735" s="377"/>
      <c r="B735" s="377"/>
      <c r="C735" s="377"/>
      <c r="D735" s="377"/>
      <c r="E735" s="377"/>
      <c r="F735" s="377"/>
      <c r="G735" s="377"/>
    </row>
    <row r="736" spans="1:7">
      <c r="A736" s="377"/>
      <c r="B736" s="377"/>
      <c r="C736" s="377"/>
      <c r="D736" s="377"/>
      <c r="E736" s="377"/>
      <c r="F736" s="377"/>
      <c r="G736" s="377"/>
    </row>
    <row r="737" spans="1:7">
      <c r="A737" s="377"/>
      <c r="B737" s="377"/>
      <c r="C737" s="377"/>
      <c r="D737" s="377"/>
      <c r="E737" s="377"/>
      <c r="F737" s="377"/>
      <c r="G737" s="377"/>
    </row>
    <row r="738" spans="1:7">
      <c r="A738" s="377"/>
      <c r="B738" s="377"/>
      <c r="C738" s="377"/>
      <c r="D738" s="377"/>
      <c r="E738" s="377"/>
      <c r="F738" s="377"/>
      <c r="G738" s="377"/>
    </row>
    <row r="739" spans="1:7">
      <c r="A739" s="377"/>
      <c r="B739" s="377"/>
      <c r="C739" s="377"/>
      <c r="D739" s="377"/>
      <c r="E739" s="377"/>
      <c r="F739" s="377"/>
      <c r="G739" s="377"/>
    </row>
    <row r="740" spans="1:7">
      <c r="A740" s="377"/>
      <c r="B740" s="377"/>
      <c r="C740" s="377"/>
      <c r="D740" s="377"/>
      <c r="E740" s="377"/>
      <c r="F740" s="377"/>
      <c r="G740" s="377"/>
    </row>
    <row r="741" spans="1:7">
      <c r="A741" s="377"/>
      <c r="B741" s="377"/>
      <c r="C741" s="377"/>
      <c r="D741" s="377"/>
      <c r="E741" s="377"/>
      <c r="F741" s="377"/>
      <c r="G741" s="377"/>
    </row>
    <row r="742" spans="1:7">
      <c r="A742" s="377"/>
      <c r="B742" s="377"/>
      <c r="C742" s="377"/>
      <c r="D742" s="377"/>
      <c r="E742" s="377"/>
      <c r="F742" s="377"/>
      <c r="G742" s="377"/>
    </row>
    <row r="743" spans="1:7">
      <c r="A743" s="377"/>
      <c r="B743" s="377"/>
      <c r="C743" s="377"/>
      <c r="D743" s="377"/>
      <c r="E743" s="377"/>
      <c r="F743" s="377"/>
      <c r="G743" s="377"/>
    </row>
    <row r="744" spans="1:7">
      <c r="A744" s="377"/>
      <c r="B744" s="377"/>
      <c r="C744" s="377"/>
      <c r="D744" s="377"/>
      <c r="E744" s="377"/>
      <c r="F744" s="377"/>
      <c r="G744" s="377"/>
    </row>
    <row r="745" spans="1:7">
      <c r="A745" s="377"/>
      <c r="B745" s="377"/>
      <c r="C745" s="377"/>
      <c r="D745" s="377"/>
      <c r="E745" s="377"/>
      <c r="F745" s="377"/>
      <c r="G745" s="377"/>
    </row>
    <row r="746" spans="1:7">
      <c r="A746" s="377"/>
      <c r="B746" s="377"/>
      <c r="C746" s="377"/>
      <c r="D746" s="377"/>
      <c r="E746" s="377"/>
      <c r="F746" s="377"/>
      <c r="G746" s="377"/>
    </row>
    <row r="747" spans="1:7">
      <c r="A747" s="377"/>
      <c r="B747" s="377"/>
      <c r="C747" s="377"/>
      <c r="D747" s="377"/>
      <c r="E747" s="377"/>
      <c r="F747" s="377"/>
      <c r="G747" s="377"/>
    </row>
    <row r="748" spans="1:7">
      <c r="A748" s="377"/>
      <c r="B748" s="377"/>
      <c r="C748" s="377"/>
      <c r="D748" s="377"/>
      <c r="E748" s="377"/>
      <c r="F748" s="377"/>
      <c r="G748" s="377"/>
    </row>
    <row r="749" spans="1:7">
      <c r="A749" s="377"/>
      <c r="B749" s="377"/>
      <c r="C749" s="377"/>
      <c r="D749" s="377"/>
      <c r="E749" s="377"/>
      <c r="F749" s="377"/>
      <c r="G749" s="377"/>
    </row>
    <row r="750" spans="1:7">
      <c r="A750" s="377"/>
      <c r="B750" s="377"/>
      <c r="C750" s="377"/>
      <c r="D750" s="377"/>
      <c r="E750" s="377"/>
      <c r="F750" s="377"/>
      <c r="G750" s="377"/>
    </row>
    <row r="751" spans="1:7">
      <c r="A751" s="377"/>
      <c r="B751" s="377"/>
      <c r="C751" s="377"/>
      <c r="D751" s="377"/>
      <c r="E751" s="377"/>
      <c r="F751" s="377"/>
      <c r="G751" s="377"/>
    </row>
    <row r="752" spans="1:7">
      <c r="A752" s="377"/>
      <c r="B752" s="377"/>
      <c r="C752" s="377"/>
      <c r="D752" s="377"/>
      <c r="E752" s="377"/>
      <c r="F752" s="377"/>
      <c r="G752" s="377"/>
    </row>
    <row r="753" spans="1:7">
      <c r="A753" s="377"/>
      <c r="B753" s="377"/>
      <c r="C753" s="377"/>
      <c r="D753" s="377"/>
      <c r="E753" s="377"/>
      <c r="F753" s="377"/>
      <c r="G753" s="377"/>
    </row>
    <row r="754" spans="1:7">
      <c r="A754" s="377"/>
      <c r="B754" s="377"/>
      <c r="C754" s="377"/>
      <c r="D754" s="377"/>
      <c r="E754" s="377"/>
      <c r="F754" s="377"/>
      <c r="G754" s="377"/>
    </row>
    <row r="755" spans="1:7">
      <c r="A755" s="377"/>
      <c r="B755" s="377"/>
      <c r="C755" s="377"/>
      <c r="D755" s="377"/>
      <c r="E755" s="377"/>
      <c r="F755" s="377"/>
      <c r="G755" s="377"/>
    </row>
    <row r="756" spans="1:7">
      <c r="A756" s="377"/>
      <c r="B756" s="377"/>
      <c r="C756" s="377"/>
      <c r="D756" s="377"/>
      <c r="E756" s="377"/>
      <c r="F756" s="377"/>
      <c r="G756" s="377"/>
    </row>
    <row r="757" spans="1:7">
      <c r="A757" s="377"/>
      <c r="B757" s="377"/>
      <c r="C757" s="377"/>
      <c r="D757" s="377"/>
      <c r="E757" s="377"/>
      <c r="F757" s="377"/>
      <c r="G757" s="377"/>
    </row>
    <row r="758" spans="1:7">
      <c r="A758" s="377"/>
      <c r="B758" s="377"/>
      <c r="C758" s="377"/>
      <c r="D758" s="377"/>
      <c r="E758" s="377"/>
      <c r="F758" s="377"/>
      <c r="G758" s="377"/>
    </row>
    <row r="759" spans="1:7">
      <c r="A759" s="377"/>
      <c r="B759" s="377"/>
      <c r="C759" s="377"/>
      <c r="D759" s="377"/>
      <c r="E759" s="377"/>
      <c r="F759" s="377"/>
      <c r="G759" s="377"/>
    </row>
    <row r="760" spans="1:7">
      <c r="A760" s="377"/>
      <c r="B760" s="377"/>
      <c r="C760" s="377"/>
      <c r="D760" s="377"/>
      <c r="E760" s="377"/>
      <c r="F760" s="377"/>
      <c r="G760" s="377"/>
    </row>
    <row r="761" spans="1:7">
      <c r="A761" s="377"/>
      <c r="B761" s="377"/>
      <c r="C761" s="377"/>
      <c r="D761" s="377"/>
      <c r="E761" s="377"/>
      <c r="F761" s="377"/>
      <c r="G761" s="377"/>
    </row>
    <row r="762" spans="1:7">
      <c r="A762" s="377"/>
      <c r="B762" s="377"/>
      <c r="C762" s="377"/>
      <c r="D762" s="377"/>
      <c r="E762" s="377"/>
      <c r="F762" s="377"/>
      <c r="G762" s="377"/>
    </row>
    <row r="763" spans="1:7">
      <c r="A763" s="377"/>
      <c r="B763" s="377"/>
      <c r="C763" s="377"/>
      <c r="D763" s="377"/>
      <c r="E763" s="377"/>
      <c r="F763" s="377"/>
      <c r="G763" s="377"/>
    </row>
    <row r="764" spans="1:7">
      <c r="A764" s="377"/>
      <c r="B764" s="377"/>
      <c r="C764" s="377"/>
      <c r="D764" s="377"/>
      <c r="E764" s="377"/>
      <c r="F764" s="377"/>
      <c r="G764" s="377"/>
    </row>
    <row r="765" spans="1:7">
      <c r="A765" s="377"/>
      <c r="B765" s="377"/>
      <c r="C765" s="377"/>
      <c r="D765" s="377"/>
      <c r="E765" s="377"/>
      <c r="F765" s="377"/>
      <c r="G765" s="377"/>
    </row>
    <row r="766" spans="1:7">
      <c r="A766" s="377"/>
      <c r="B766" s="377"/>
      <c r="C766" s="377"/>
      <c r="D766" s="377"/>
      <c r="E766" s="377"/>
      <c r="F766" s="377"/>
      <c r="G766" s="377"/>
    </row>
    <row r="767" spans="1:7">
      <c r="A767" s="377"/>
      <c r="B767" s="377"/>
      <c r="C767" s="377"/>
      <c r="D767" s="377"/>
      <c r="E767" s="377"/>
      <c r="F767" s="377"/>
      <c r="G767" s="377"/>
    </row>
    <row r="768" spans="1:7">
      <c r="A768" s="377"/>
      <c r="B768" s="377"/>
      <c r="C768" s="377"/>
      <c r="D768" s="377"/>
      <c r="E768" s="377"/>
      <c r="F768" s="377"/>
      <c r="G768" s="377"/>
    </row>
    <row r="769" spans="1:7">
      <c r="A769" s="377"/>
      <c r="B769" s="377"/>
      <c r="C769" s="377"/>
      <c r="D769" s="377"/>
      <c r="E769" s="377"/>
      <c r="F769" s="377"/>
      <c r="G769" s="377"/>
    </row>
    <row r="770" spans="1:7">
      <c r="A770" s="377"/>
      <c r="B770" s="377"/>
      <c r="C770" s="377"/>
      <c r="D770" s="377"/>
      <c r="E770" s="377"/>
      <c r="F770" s="377"/>
      <c r="G770" s="377"/>
    </row>
    <row r="771" spans="1:7">
      <c r="A771" s="377"/>
      <c r="B771" s="377"/>
      <c r="C771" s="377"/>
      <c r="D771" s="377"/>
      <c r="E771" s="377"/>
      <c r="F771" s="377"/>
      <c r="G771" s="377"/>
    </row>
    <row r="772" spans="1:7">
      <c r="A772" s="377"/>
      <c r="B772" s="377"/>
      <c r="C772" s="377"/>
      <c r="D772" s="377"/>
      <c r="E772" s="377"/>
      <c r="F772" s="377"/>
      <c r="G772" s="377"/>
    </row>
    <row r="773" spans="1:7">
      <c r="A773" s="377"/>
      <c r="B773" s="377"/>
      <c r="C773" s="377"/>
      <c r="D773" s="377"/>
      <c r="E773" s="377"/>
      <c r="F773" s="377"/>
      <c r="G773" s="377"/>
    </row>
    <row r="774" spans="1:7">
      <c r="A774" s="377"/>
      <c r="B774" s="377"/>
      <c r="C774" s="377"/>
      <c r="D774" s="377"/>
      <c r="E774" s="377"/>
      <c r="F774" s="377"/>
      <c r="G774" s="377"/>
    </row>
    <row r="775" spans="1:7">
      <c r="A775" s="377"/>
      <c r="B775" s="377"/>
      <c r="C775" s="377"/>
      <c r="D775" s="377"/>
      <c r="E775" s="377"/>
      <c r="F775" s="377"/>
      <c r="G775" s="377"/>
    </row>
    <row r="776" spans="1:7">
      <c r="A776" s="377"/>
      <c r="B776" s="377"/>
      <c r="C776" s="377"/>
      <c r="D776" s="377"/>
      <c r="E776" s="377"/>
      <c r="F776" s="377"/>
      <c r="G776" s="377"/>
    </row>
    <row r="777" spans="1:7">
      <c r="A777" s="377"/>
      <c r="B777" s="377"/>
      <c r="C777" s="377"/>
      <c r="D777" s="377"/>
      <c r="E777" s="377"/>
      <c r="F777" s="377"/>
      <c r="G777" s="377"/>
    </row>
    <row r="778" spans="1:7">
      <c r="A778" s="377"/>
      <c r="B778" s="377"/>
      <c r="C778" s="377"/>
      <c r="D778" s="377"/>
      <c r="E778" s="377"/>
      <c r="F778" s="377"/>
      <c r="G778" s="377"/>
    </row>
    <row r="779" spans="1:7">
      <c r="A779" s="377"/>
      <c r="B779" s="377"/>
      <c r="C779" s="377"/>
      <c r="D779" s="377"/>
      <c r="E779" s="377"/>
      <c r="F779" s="377"/>
      <c r="G779" s="377"/>
    </row>
    <row r="780" spans="1:7">
      <c r="A780" s="377"/>
      <c r="B780" s="377"/>
      <c r="C780" s="377"/>
      <c r="D780" s="377"/>
      <c r="E780" s="377"/>
      <c r="F780" s="377"/>
      <c r="G780" s="377"/>
    </row>
    <row r="781" spans="1:7">
      <c r="A781" s="377"/>
      <c r="B781" s="377"/>
      <c r="C781" s="377"/>
      <c r="D781" s="377"/>
      <c r="E781" s="377"/>
      <c r="F781" s="377"/>
      <c r="G781" s="377"/>
    </row>
    <row r="782" spans="1:7">
      <c r="A782" s="377"/>
      <c r="B782" s="377"/>
      <c r="C782" s="377"/>
      <c r="D782" s="377"/>
      <c r="E782" s="377"/>
      <c r="F782" s="377"/>
      <c r="G782" s="377"/>
    </row>
    <row r="783" spans="1:7">
      <c r="A783" s="377"/>
      <c r="B783" s="377"/>
      <c r="C783" s="377"/>
      <c r="D783" s="377"/>
      <c r="E783" s="377"/>
      <c r="F783" s="377"/>
      <c r="G783" s="377"/>
    </row>
    <row r="784" spans="1:7">
      <c r="A784" s="377"/>
      <c r="B784" s="377"/>
      <c r="C784" s="377"/>
      <c r="D784" s="377"/>
      <c r="E784" s="377"/>
      <c r="F784" s="377"/>
      <c r="G784" s="377"/>
    </row>
    <row r="785" spans="1:7">
      <c r="A785" s="377"/>
      <c r="B785" s="377"/>
      <c r="C785" s="377"/>
      <c r="D785" s="377"/>
      <c r="E785" s="377"/>
      <c r="F785" s="377"/>
      <c r="G785" s="377"/>
    </row>
    <row r="786" spans="1:7">
      <c r="A786" s="377"/>
      <c r="B786" s="377"/>
      <c r="C786" s="377"/>
      <c r="D786" s="377"/>
      <c r="E786" s="377"/>
      <c r="F786" s="377"/>
      <c r="G786" s="377"/>
    </row>
    <row r="787" spans="1:7">
      <c r="A787" s="377"/>
      <c r="B787" s="377"/>
      <c r="C787" s="377"/>
      <c r="D787" s="377"/>
      <c r="E787" s="377"/>
      <c r="F787" s="377"/>
      <c r="G787" s="377"/>
    </row>
    <row r="788" spans="1:7">
      <c r="A788" s="377"/>
      <c r="B788" s="377"/>
      <c r="C788" s="377"/>
      <c r="D788" s="377"/>
      <c r="E788" s="377"/>
      <c r="F788" s="377"/>
      <c r="G788" s="377"/>
    </row>
    <row r="789" spans="1:7">
      <c r="A789" s="377"/>
      <c r="B789" s="377"/>
      <c r="C789" s="377"/>
      <c r="D789" s="377"/>
      <c r="E789" s="377"/>
      <c r="F789" s="377"/>
      <c r="G789" s="377"/>
    </row>
    <row r="790" spans="1:7">
      <c r="A790" s="377"/>
      <c r="B790" s="377"/>
      <c r="C790" s="377"/>
      <c r="D790" s="377"/>
      <c r="E790" s="377"/>
      <c r="F790" s="377"/>
      <c r="G790" s="377"/>
    </row>
    <row r="791" spans="1:7">
      <c r="A791" s="377"/>
      <c r="B791" s="377"/>
      <c r="C791" s="377"/>
      <c r="D791" s="377"/>
      <c r="E791" s="377"/>
      <c r="F791" s="377"/>
      <c r="G791" s="377"/>
    </row>
    <row r="792" spans="1:7">
      <c r="A792" s="377"/>
      <c r="B792" s="377"/>
      <c r="C792" s="377"/>
      <c r="D792" s="377"/>
      <c r="E792" s="377"/>
      <c r="F792" s="377"/>
      <c r="G792" s="377"/>
    </row>
    <row r="793" spans="1:7">
      <c r="A793" s="377"/>
      <c r="B793" s="377"/>
      <c r="C793" s="377"/>
      <c r="D793" s="377"/>
      <c r="E793" s="377"/>
      <c r="F793" s="377"/>
      <c r="G793" s="377"/>
    </row>
    <row r="794" spans="1:7">
      <c r="A794" s="377"/>
      <c r="B794" s="377"/>
      <c r="C794" s="377"/>
      <c r="D794" s="377"/>
      <c r="E794" s="377"/>
      <c r="F794" s="377"/>
      <c r="G794" s="377"/>
    </row>
    <row r="795" spans="1:7">
      <c r="A795" s="377"/>
      <c r="B795" s="377"/>
      <c r="C795" s="377"/>
      <c r="D795" s="377"/>
      <c r="E795" s="377"/>
      <c r="F795" s="377"/>
      <c r="G795" s="377"/>
    </row>
    <row r="796" spans="1:7">
      <c r="A796" s="377"/>
      <c r="B796" s="377"/>
      <c r="C796" s="377"/>
      <c r="D796" s="377"/>
      <c r="E796" s="377"/>
      <c r="F796" s="377"/>
      <c r="G796" s="377"/>
    </row>
    <row r="797" spans="1:7">
      <c r="A797" s="377"/>
      <c r="B797" s="377"/>
      <c r="C797" s="377"/>
      <c r="D797" s="377"/>
      <c r="E797" s="377"/>
      <c r="F797" s="377"/>
      <c r="G797" s="377"/>
    </row>
    <row r="798" spans="1:7">
      <c r="A798" s="377"/>
      <c r="B798" s="377"/>
      <c r="C798" s="377"/>
      <c r="D798" s="377"/>
      <c r="E798" s="377"/>
      <c r="F798" s="377"/>
      <c r="G798" s="377"/>
    </row>
    <row r="799" spans="1:7">
      <c r="A799" s="377"/>
      <c r="B799" s="377"/>
      <c r="C799" s="377"/>
      <c r="D799" s="377"/>
      <c r="E799" s="377"/>
      <c r="F799" s="377"/>
      <c r="G799" s="377"/>
    </row>
    <row r="800" spans="1:7">
      <c r="A800" s="377"/>
      <c r="B800" s="377"/>
      <c r="C800" s="377"/>
      <c r="D800" s="377"/>
      <c r="E800" s="377"/>
      <c r="F800" s="377"/>
      <c r="G800" s="377"/>
    </row>
    <row r="801" spans="1:7">
      <c r="A801" s="377"/>
      <c r="B801" s="377"/>
      <c r="C801" s="377"/>
      <c r="D801" s="377"/>
      <c r="E801" s="377"/>
      <c r="F801" s="377"/>
      <c r="G801" s="377"/>
    </row>
    <row r="802" spans="1:7">
      <c r="A802" s="377"/>
      <c r="B802" s="377"/>
      <c r="C802" s="377"/>
      <c r="D802" s="377"/>
      <c r="E802" s="377"/>
      <c r="F802" s="377"/>
      <c r="G802" s="377"/>
    </row>
    <row r="803" spans="1:7">
      <c r="A803" s="377"/>
      <c r="B803" s="377"/>
      <c r="C803" s="377"/>
      <c r="D803" s="377"/>
      <c r="E803" s="377"/>
      <c r="F803" s="377"/>
      <c r="G803" s="377"/>
    </row>
    <row r="804" spans="1:7">
      <c r="A804" s="377"/>
      <c r="B804" s="377"/>
      <c r="C804" s="377"/>
      <c r="D804" s="377"/>
      <c r="E804" s="377"/>
      <c r="F804" s="377"/>
      <c r="G804" s="377"/>
    </row>
    <row r="805" spans="1:7">
      <c r="A805" s="377"/>
      <c r="B805" s="377"/>
      <c r="C805" s="377"/>
      <c r="D805" s="377"/>
      <c r="E805" s="377"/>
      <c r="F805" s="377"/>
      <c r="G805" s="377"/>
    </row>
    <row r="806" spans="1:7">
      <c r="A806" s="377"/>
      <c r="B806" s="377"/>
      <c r="C806" s="377"/>
      <c r="D806" s="377"/>
      <c r="E806" s="377"/>
      <c r="F806" s="377"/>
      <c r="G806" s="377"/>
    </row>
    <row r="807" spans="1:7">
      <c r="A807" s="377"/>
      <c r="B807" s="377"/>
      <c r="C807" s="377"/>
      <c r="D807" s="377"/>
      <c r="E807" s="377"/>
      <c r="F807" s="377"/>
      <c r="G807" s="377"/>
    </row>
    <row r="808" spans="1:7">
      <c r="A808" s="377"/>
      <c r="B808" s="377"/>
      <c r="C808" s="377"/>
      <c r="D808" s="377"/>
      <c r="E808" s="377"/>
      <c r="F808" s="377"/>
      <c r="G808" s="377"/>
    </row>
    <row r="809" spans="1:7">
      <c r="A809" s="377"/>
      <c r="B809" s="377"/>
      <c r="C809" s="377"/>
      <c r="D809" s="377"/>
      <c r="E809" s="377"/>
      <c r="F809" s="377"/>
      <c r="G809" s="377"/>
    </row>
    <row r="810" spans="1:7">
      <c r="A810" s="377"/>
      <c r="B810" s="377"/>
      <c r="C810" s="377"/>
      <c r="D810" s="377"/>
      <c r="E810" s="377"/>
      <c r="F810" s="377"/>
      <c r="G810" s="377"/>
    </row>
    <row r="811" spans="1:7">
      <c r="A811" s="377"/>
      <c r="B811" s="377"/>
      <c r="C811" s="377"/>
      <c r="D811" s="377"/>
      <c r="E811" s="377"/>
      <c r="F811" s="377"/>
      <c r="G811" s="377"/>
    </row>
    <row r="812" spans="1:7">
      <c r="A812" s="377"/>
      <c r="B812" s="377"/>
      <c r="C812" s="377"/>
      <c r="D812" s="377"/>
      <c r="E812" s="377"/>
      <c r="F812" s="377"/>
      <c r="G812" s="377"/>
    </row>
    <row r="813" spans="1:7">
      <c r="A813" s="377"/>
      <c r="B813" s="377"/>
      <c r="C813" s="377"/>
      <c r="D813" s="377"/>
      <c r="E813" s="377"/>
      <c r="F813" s="377"/>
      <c r="G813" s="377"/>
    </row>
    <row r="814" spans="1:7">
      <c r="A814" s="377"/>
      <c r="B814" s="377"/>
      <c r="C814" s="377"/>
      <c r="D814" s="377"/>
      <c r="E814" s="377"/>
      <c r="F814" s="377"/>
      <c r="G814" s="377"/>
    </row>
    <row r="815" spans="1:7">
      <c r="A815" s="377"/>
      <c r="B815" s="377"/>
      <c r="C815" s="377"/>
      <c r="D815" s="377"/>
      <c r="E815" s="377"/>
      <c r="F815" s="377"/>
      <c r="G815" s="377"/>
    </row>
    <row r="816" spans="1:7">
      <c r="A816" s="377"/>
      <c r="B816" s="377"/>
      <c r="C816" s="377"/>
      <c r="D816" s="377"/>
      <c r="E816" s="377"/>
      <c r="F816" s="377"/>
      <c r="G816" s="377"/>
    </row>
    <row r="817" spans="1:7">
      <c r="A817" s="377"/>
      <c r="B817" s="377"/>
      <c r="C817" s="377"/>
      <c r="D817" s="377"/>
      <c r="E817" s="377"/>
      <c r="F817" s="377"/>
      <c r="G817" s="377"/>
    </row>
    <row r="818" spans="1:7">
      <c r="A818" s="377"/>
      <c r="B818" s="377"/>
      <c r="C818" s="377"/>
      <c r="D818" s="377"/>
      <c r="E818" s="377"/>
      <c r="F818" s="377"/>
      <c r="G818" s="377"/>
    </row>
    <row r="819" spans="1:7">
      <c r="A819" s="377"/>
      <c r="B819" s="377"/>
      <c r="C819" s="377"/>
      <c r="D819" s="377"/>
      <c r="E819" s="377"/>
      <c r="F819" s="377"/>
      <c r="G819" s="377"/>
    </row>
    <row r="820" spans="1:7">
      <c r="A820" s="377"/>
      <c r="B820" s="377"/>
      <c r="C820" s="377"/>
      <c r="D820" s="377"/>
      <c r="E820" s="377"/>
      <c r="F820" s="377"/>
      <c r="G820" s="377"/>
    </row>
    <row r="821" spans="1:7">
      <c r="A821" s="377"/>
      <c r="B821" s="377"/>
      <c r="C821" s="377"/>
      <c r="D821" s="377"/>
      <c r="E821" s="377"/>
      <c r="F821" s="377"/>
      <c r="G821" s="377"/>
    </row>
    <row r="822" spans="1:7">
      <c r="A822" s="377"/>
      <c r="B822" s="377"/>
      <c r="C822" s="377"/>
      <c r="D822" s="377"/>
      <c r="E822" s="377"/>
      <c r="F822" s="377"/>
      <c r="G822" s="377"/>
    </row>
    <row r="823" spans="1:7">
      <c r="A823" s="377"/>
      <c r="B823" s="377"/>
      <c r="C823" s="377"/>
      <c r="D823" s="377"/>
      <c r="E823" s="377"/>
      <c r="F823" s="377"/>
      <c r="G823" s="377"/>
    </row>
    <row r="824" spans="1:7">
      <c r="A824" s="377"/>
      <c r="B824" s="377"/>
      <c r="C824" s="377"/>
      <c r="D824" s="377"/>
      <c r="E824" s="377"/>
      <c r="F824" s="377"/>
      <c r="G824" s="377"/>
    </row>
    <row r="825" spans="1:7">
      <c r="A825" s="377"/>
      <c r="B825" s="377"/>
      <c r="C825" s="377"/>
      <c r="D825" s="377"/>
      <c r="E825" s="377"/>
      <c r="F825" s="377"/>
      <c r="G825" s="377"/>
    </row>
    <row r="826" spans="1:7">
      <c r="A826" s="377"/>
      <c r="B826" s="377"/>
      <c r="C826" s="377"/>
      <c r="D826" s="377"/>
      <c r="E826" s="377"/>
      <c r="F826" s="377"/>
      <c r="G826" s="377"/>
    </row>
    <row r="827" spans="1:7">
      <c r="A827" s="377"/>
      <c r="B827" s="377"/>
      <c r="C827" s="377"/>
      <c r="D827" s="377"/>
      <c r="E827" s="377"/>
      <c r="F827" s="377"/>
      <c r="G827" s="377"/>
    </row>
    <row r="828" spans="1:7">
      <c r="A828" s="377"/>
      <c r="B828" s="377"/>
      <c r="C828" s="377"/>
      <c r="D828" s="377"/>
      <c r="E828" s="377"/>
      <c r="F828" s="377"/>
      <c r="G828" s="377"/>
    </row>
    <row r="829" spans="1:7">
      <c r="A829" s="377"/>
      <c r="B829" s="377"/>
      <c r="C829" s="377"/>
      <c r="D829" s="377"/>
      <c r="E829" s="377"/>
      <c r="F829" s="377"/>
      <c r="G829" s="377"/>
    </row>
    <row r="830" spans="1:7">
      <c r="A830" s="377"/>
      <c r="B830" s="377"/>
      <c r="C830" s="377"/>
      <c r="D830" s="377"/>
      <c r="E830" s="377"/>
      <c r="F830" s="377"/>
      <c r="G830" s="377"/>
    </row>
    <row r="831" spans="1:7">
      <c r="A831" s="377"/>
      <c r="B831" s="377"/>
      <c r="C831" s="377"/>
      <c r="D831" s="377"/>
      <c r="E831" s="377"/>
      <c r="F831" s="377"/>
      <c r="G831" s="377"/>
    </row>
    <row r="832" spans="1:7">
      <c r="A832" s="377"/>
      <c r="B832" s="377"/>
      <c r="C832" s="377"/>
      <c r="D832" s="377"/>
      <c r="E832" s="377"/>
      <c r="F832" s="377"/>
      <c r="G832" s="377"/>
    </row>
    <row r="833" spans="1:7">
      <c r="A833" s="377"/>
      <c r="B833" s="377"/>
      <c r="C833" s="377"/>
      <c r="D833" s="377"/>
      <c r="E833" s="377"/>
      <c r="F833" s="377"/>
      <c r="G833" s="377"/>
    </row>
    <row r="834" spans="1:7">
      <c r="A834" s="377"/>
      <c r="B834" s="377"/>
      <c r="C834" s="377"/>
      <c r="D834" s="377"/>
      <c r="E834" s="377"/>
      <c r="F834" s="377"/>
      <c r="G834" s="377"/>
    </row>
    <row r="835" spans="1:7">
      <c r="A835" s="377"/>
      <c r="B835" s="377"/>
      <c r="C835" s="377"/>
      <c r="D835" s="377"/>
      <c r="E835" s="377"/>
      <c r="F835" s="377"/>
      <c r="G835" s="377"/>
    </row>
    <row r="836" spans="1:7">
      <c r="A836" s="377"/>
      <c r="B836" s="377"/>
      <c r="C836" s="377"/>
      <c r="D836" s="377"/>
      <c r="E836" s="377"/>
      <c r="F836" s="377"/>
      <c r="G836" s="377"/>
    </row>
    <row r="837" spans="1:7">
      <c r="A837" s="377"/>
      <c r="B837" s="377"/>
      <c r="C837" s="377"/>
      <c r="D837" s="377"/>
      <c r="E837" s="377"/>
      <c r="F837" s="377"/>
      <c r="G837" s="377"/>
    </row>
    <row r="838" spans="1:7">
      <c r="A838" s="377"/>
      <c r="B838" s="377"/>
      <c r="C838" s="377"/>
      <c r="D838" s="377"/>
      <c r="E838" s="377"/>
      <c r="F838" s="377"/>
      <c r="G838" s="377"/>
    </row>
    <row r="839" spans="1:7">
      <c r="A839" s="377"/>
      <c r="B839" s="377"/>
      <c r="C839" s="377"/>
      <c r="D839" s="377"/>
      <c r="E839" s="377"/>
      <c r="F839" s="377"/>
      <c r="G839" s="377"/>
    </row>
    <row r="840" spans="1:7">
      <c r="A840" s="377"/>
      <c r="B840" s="377"/>
      <c r="C840" s="377"/>
      <c r="D840" s="377"/>
      <c r="E840" s="377"/>
      <c r="F840" s="377"/>
      <c r="G840" s="377"/>
    </row>
    <row r="841" spans="1:7">
      <c r="A841" s="377"/>
      <c r="B841" s="377"/>
      <c r="C841" s="377"/>
      <c r="D841" s="377"/>
      <c r="E841" s="377"/>
      <c r="F841" s="377"/>
      <c r="G841" s="377"/>
    </row>
    <row r="842" spans="1:7">
      <c r="A842" s="377"/>
      <c r="B842" s="377"/>
      <c r="C842" s="377"/>
      <c r="D842" s="377"/>
      <c r="E842" s="377"/>
      <c r="F842" s="377"/>
      <c r="G842" s="377"/>
    </row>
    <row r="843" spans="1:7">
      <c r="A843" s="377"/>
      <c r="B843" s="377"/>
      <c r="C843" s="377"/>
      <c r="D843" s="377"/>
      <c r="E843" s="377"/>
      <c r="F843" s="377"/>
      <c r="G843" s="377"/>
    </row>
    <row r="844" spans="1:7">
      <c r="A844" s="377"/>
      <c r="B844" s="377"/>
      <c r="C844" s="377"/>
      <c r="D844" s="377"/>
      <c r="E844" s="377"/>
      <c r="F844" s="377"/>
      <c r="G844" s="377"/>
    </row>
    <row r="845" spans="1:7">
      <c r="A845" s="377"/>
      <c r="B845" s="377"/>
      <c r="C845" s="377"/>
      <c r="D845" s="377"/>
      <c r="E845" s="377"/>
      <c r="F845" s="377"/>
      <c r="G845" s="377"/>
    </row>
    <row r="846" spans="1:7">
      <c r="A846" s="377"/>
      <c r="B846" s="377"/>
      <c r="C846" s="377"/>
      <c r="D846" s="377"/>
      <c r="E846" s="377"/>
      <c r="F846" s="377"/>
      <c r="G846" s="377"/>
    </row>
    <row r="847" spans="1:7">
      <c r="A847" s="377"/>
      <c r="B847" s="377"/>
      <c r="C847" s="377"/>
      <c r="D847" s="377"/>
      <c r="E847" s="377"/>
      <c r="F847" s="377"/>
      <c r="G847" s="377"/>
    </row>
    <row r="848" spans="1:7">
      <c r="A848" s="377"/>
      <c r="B848" s="377"/>
      <c r="C848" s="377"/>
      <c r="D848" s="377"/>
      <c r="E848" s="377"/>
      <c r="F848" s="377"/>
      <c r="G848" s="377"/>
    </row>
    <row r="849" spans="1:7">
      <c r="A849" s="377"/>
      <c r="B849" s="377"/>
      <c r="C849" s="377"/>
      <c r="D849" s="377"/>
      <c r="E849" s="377"/>
      <c r="F849" s="377"/>
      <c r="G849" s="377"/>
    </row>
    <row r="850" spans="1:7">
      <c r="A850" s="377"/>
      <c r="B850" s="377"/>
      <c r="C850" s="377"/>
      <c r="D850" s="377"/>
      <c r="E850" s="377"/>
      <c r="F850" s="377"/>
      <c r="G850" s="377"/>
    </row>
    <row r="851" spans="1:7">
      <c r="A851" s="377"/>
      <c r="B851" s="377"/>
      <c r="C851" s="377"/>
      <c r="D851" s="377"/>
      <c r="E851" s="377"/>
      <c r="F851" s="377"/>
      <c r="G851" s="377"/>
    </row>
    <row r="852" spans="1:7">
      <c r="A852" s="377"/>
      <c r="B852" s="377"/>
      <c r="C852" s="377"/>
      <c r="D852" s="377"/>
      <c r="E852" s="377"/>
      <c r="F852" s="377"/>
      <c r="G852" s="377"/>
    </row>
    <row r="853" spans="1:7">
      <c r="A853" s="377"/>
      <c r="B853" s="377"/>
      <c r="C853" s="377"/>
      <c r="D853" s="377"/>
      <c r="E853" s="377"/>
      <c r="F853" s="377"/>
      <c r="G853" s="377"/>
    </row>
    <row r="854" spans="1:7">
      <c r="A854" s="377"/>
      <c r="B854" s="377"/>
      <c r="C854" s="377"/>
      <c r="D854" s="377"/>
      <c r="E854" s="377"/>
      <c r="F854" s="377"/>
      <c r="G854" s="377"/>
    </row>
    <row r="855" spans="1:7">
      <c r="A855" s="377"/>
      <c r="B855" s="377"/>
      <c r="C855" s="377"/>
      <c r="D855" s="377"/>
      <c r="E855" s="377"/>
      <c r="F855" s="377"/>
      <c r="G855" s="377"/>
    </row>
    <row r="856" spans="1:7">
      <c r="A856" s="377"/>
      <c r="B856" s="377"/>
      <c r="C856" s="377"/>
      <c r="D856" s="377"/>
      <c r="E856" s="377"/>
      <c r="F856" s="377"/>
      <c r="G856" s="377"/>
    </row>
    <row r="857" spans="1:7">
      <c r="A857" s="377"/>
      <c r="B857" s="377"/>
      <c r="C857" s="377"/>
      <c r="D857" s="377"/>
      <c r="E857" s="377"/>
      <c r="F857" s="377"/>
      <c r="G857" s="377"/>
    </row>
    <row r="858" spans="1:7">
      <c r="A858" s="377"/>
      <c r="B858" s="377"/>
      <c r="C858" s="377"/>
      <c r="D858" s="377"/>
      <c r="E858" s="377"/>
      <c r="F858" s="377"/>
      <c r="G858" s="377"/>
    </row>
    <row r="859" spans="1:7">
      <c r="A859" s="377"/>
      <c r="B859" s="377"/>
      <c r="C859" s="377"/>
      <c r="D859" s="377"/>
      <c r="E859" s="377"/>
      <c r="F859" s="377"/>
      <c r="G859" s="377"/>
    </row>
    <row r="860" spans="1:7">
      <c r="A860" s="377"/>
      <c r="B860" s="377"/>
      <c r="C860" s="377"/>
      <c r="D860" s="377"/>
      <c r="E860" s="377"/>
      <c r="F860" s="377"/>
      <c r="G860" s="377"/>
    </row>
    <row r="861" spans="1:7">
      <c r="A861" s="377"/>
      <c r="B861" s="377"/>
      <c r="C861" s="377"/>
      <c r="D861" s="377"/>
      <c r="E861" s="377"/>
      <c r="F861" s="377"/>
      <c r="G861" s="377"/>
    </row>
    <row r="862" spans="1:7">
      <c r="A862" s="377"/>
      <c r="B862" s="377"/>
      <c r="C862" s="377"/>
      <c r="D862" s="377"/>
      <c r="E862" s="377"/>
      <c r="F862" s="377"/>
      <c r="G862" s="377"/>
    </row>
    <row r="863" spans="1:7">
      <c r="A863" s="377"/>
      <c r="B863" s="377"/>
      <c r="C863" s="377"/>
      <c r="D863" s="377"/>
      <c r="E863" s="377"/>
      <c r="F863" s="377"/>
      <c r="G863" s="377"/>
    </row>
    <row r="864" spans="1:7">
      <c r="A864" s="377"/>
      <c r="B864" s="377"/>
      <c r="C864" s="377"/>
      <c r="D864" s="377"/>
      <c r="E864" s="377"/>
      <c r="F864" s="377"/>
      <c r="G864" s="377"/>
    </row>
    <row r="865" spans="1:7">
      <c r="A865" s="377"/>
      <c r="B865" s="377"/>
      <c r="C865" s="377"/>
      <c r="D865" s="377"/>
      <c r="E865" s="377"/>
      <c r="F865" s="377"/>
      <c r="G865" s="377"/>
    </row>
    <row r="866" spans="1:7">
      <c r="A866" s="377"/>
      <c r="B866" s="377"/>
      <c r="C866" s="377"/>
      <c r="D866" s="377"/>
      <c r="E866" s="377"/>
      <c r="F866" s="377"/>
      <c r="G866" s="377"/>
    </row>
    <row r="867" spans="1:7">
      <c r="A867" s="377"/>
      <c r="B867" s="377"/>
      <c r="C867" s="377"/>
      <c r="D867" s="377"/>
      <c r="E867" s="377"/>
      <c r="F867" s="377"/>
      <c r="G867" s="377"/>
    </row>
    <row r="868" spans="1:7">
      <c r="A868" s="377"/>
      <c r="B868" s="377"/>
      <c r="C868" s="377"/>
      <c r="D868" s="377"/>
      <c r="E868" s="377"/>
      <c r="F868" s="377"/>
      <c r="G868" s="377"/>
    </row>
    <row r="869" spans="1:7">
      <c r="A869" s="377"/>
      <c r="B869" s="377"/>
      <c r="C869" s="377"/>
      <c r="D869" s="377"/>
      <c r="E869" s="377"/>
      <c r="F869" s="377"/>
      <c r="G869" s="377"/>
    </row>
    <row r="870" spans="1:7">
      <c r="A870" s="377"/>
      <c r="B870" s="377"/>
      <c r="C870" s="377"/>
      <c r="D870" s="377"/>
      <c r="E870" s="377"/>
      <c r="F870" s="377"/>
      <c r="G870" s="377"/>
    </row>
    <row r="871" spans="1:7">
      <c r="A871" s="377"/>
      <c r="B871" s="377"/>
      <c r="C871" s="377"/>
      <c r="D871" s="377"/>
      <c r="E871" s="377"/>
      <c r="F871" s="377"/>
      <c r="G871" s="377"/>
    </row>
    <row r="872" spans="1:7">
      <c r="A872" s="377"/>
      <c r="B872" s="377"/>
      <c r="C872" s="377"/>
      <c r="D872" s="377"/>
      <c r="E872" s="377"/>
      <c r="F872" s="377"/>
      <c r="G872" s="377"/>
    </row>
    <row r="873" spans="1:7">
      <c r="A873" s="377"/>
      <c r="B873" s="377"/>
      <c r="C873" s="377"/>
      <c r="D873" s="377"/>
      <c r="E873" s="377"/>
      <c r="F873" s="377"/>
      <c r="G873" s="377"/>
    </row>
    <row r="874" spans="1:7">
      <c r="A874" s="377"/>
      <c r="B874" s="377"/>
      <c r="C874" s="377"/>
      <c r="D874" s="377"/>
      <c r="E874" s="377"/>
      <c r="F874" s="377"/>
      <c r="G874" s="377"/>
    </row>
    <row r="875" spans="1:7">
      <c r="A875" s="377"/>
      <c r="B875" s="377"/>
      <c r="C875" s="377"/>
      <c r="D875" s="377"/>
      <c r="E875" s="377"/>
      <c r="F875" s="377"/>
      <c r="G875" s="377"/>
    </row>
    <row r="876" spans="1:7">
      <c r="A876" s="377"/>
      <c r="B876" s="377"/>
      <c r="C876" s="377"/>
      <c r="D876" s="377"/>
      <c r="E876" s="377"/>
      <c r="F876" s="377"/>
      <c r="G876" s="377"/>
    </row>
    <row r="877" spans="1:7">
      <c r="A877" s="377"/>
      <c r="B877" s="377"/>
      <c r="C877" s="377"/>
      <c r="D877" s="377"/>
      <c r="E877" s="377"/>
      <c r="F877" s="377"/>
      <c r="G877" s="377"/>
    </row>
    <row r="878" spans="1:7">
      <c r="A878" s="377"/>
      <c r="B878" s="377"/>
      <c r="C878" s="377"/>
      <c r="D878" s="377"/>
      <c r="E878" s="377"/>
      <c r="F878" s="377"/>
      <c r="G878" s="377"/>
    </row>
    <row r="879" spans="1:7">
      <c r="A879" s="377"/>
      <c r="B879" s="377"/>
      <c r="C879" s="377"/>
      <c r="D879" s="377"/>
      <c r="E879" s="377"/>
      <c r="F879" s="377"/>
      <c r="G879" s="377"/>
    </row>
    <row r="880" spans="1:7">
      <c r="A880" s="377"/>
      <c r="B880" s="377"/>
      <c r="C880" s="377"/>
      <c r="D880" s="377"/>
      <c r="E880" s="377"/>
      <c r="F880" s="377"/>
      <c r="G880" s="377"/>
    </row>
    <row r="881" spans="1:7">
      <c r="A881" s="377"/>
      <c r="B881" s="377"/>
      <c r="C881" s="377"/>
      <c r="D881" s="377"/>
      <c r="E881" s="377"/>
      <c r="F881" s="377"/>
      <c r="G881" s="377"/>
    </row>
    <row r="882" spans="1:7">
      <c r="A882" s="377"/>
      <c r="B882" s="377"/>
      <c r="C882" s="377"/>
      <c r="D882" s="377"/>
      <c r="E882" s="377"/>
      <c r="F882" s="377"/>
      <c r="G882" s="377"/>
    </row>
    <row r="883" spans="1:7">
      <c r="A883" s="377"/>
      <c r="B883" s="377"/>
      <c r="C883" s="377"/>
      <c r="D883" s="377"/>
      <c r="E883" s="377"/>
      <c r="F883" s="377"/>
      <c r="G883" s="377"/>
    </row>
    <row r="884" spans="1:7">
      <c r="A884" s="377"/>
      <c r="B884" s="377"/>
      <c r="C884" s="377"/>
      <c r="D884" s="377"/>
      <c r="E884" s="377"/>
      <c r="F884" s="377"/>
      <c r="G884" s="377"/>
    </row>
    <row r="885" spans="1:7">
      <c r="A885" s="377"/>
      <c r="B885" s="377"/>
      <c r="C885" s="377"/>
      <c r="D885" s="377"/>
      <c r="E885" s="377"/>
      <c r="F885" s="377"/>
      <c r="G885" s="377"/>
    </row>
    <row r="886" spans="1:7">
      <c r="A886" s="377"/>
      <c r="B886" s="377"/>
      <c r="C886" s="377"/>
      <c r="D886" s="377"/>
      <c r="E886" s="377"/>
      <c r="F886" s="377"/>
      <c r="G886" s="377"/>
    </row>
    <row r="887" spans="1:7">
      <c r="A887" s="377"/>
      <c r="B887" s="377"/>
      <c r="C887" s="377"/>
      <c r="D887" s="377"/>
      <c r="E887" s="377"/>
      <c r="F887" s="377"/>
      <c r="G887" s="377"/>
    </row>
    <row r="888" spans="1:7">
      <c r="A888" s="377"/>
      <c r="B888" s="377"/>
      <c r="C888" s="377"/>
      <c r="D888" s="377"/>
      <c r="E888" s="377"/>
      <c r="F888" s="377"/>
      <c r="G888" s="377"/>
    </row>
    <row r="889" spans="1:7">
      <c r="A889" s="377"/>
      <c r="B889" s="377"/>
      <c r="C889" s="377"/>
      <c r="D889" s="377"/>
      <c r="E889" s="377"/>
      <c r="F889" s="377"/>
      <c r="G889" s="377"/>
    </row>
    <row r="890" spans="1:7">
      <c r="A890" s="377"/>
      <c r="B890" s="377"/>
      <c r="C890" s="377"/>
      <c r="D890" s="377"/>
      <c r="E890" s="377"/>
      <c r="F890" s="377"/>
      <c r="G890" s="377"/>
    </row>
    <row r="891" spans="1:7">
      <c r="A891" s="377"/>
      <c r="B891" s="377"/>
      <c r="C891" s="377"/>
      <c r="D891" s="377"/>
      <c r="E891" s="377"/>
      <c r="F891" s="377"/>
      <c r="G891" s="377"/>
    </row>
    <row r="892" spans="1:7">
      <c r="A892" s="377"/>
      <c r="B892" s="377"/>
      <c r="C892" s="377"/>
      <c r="D892" s="377"/>
      <c r="E892" s="377"/>
      <c r="F892" s="377"/>
      <c r="G892" s="377"/>
    </row>
    <row r="893" spans="1:7">
      <c r="A893" s="377"/>
      <c r="B893" s="377"/>
      <c r="C893" s="377"/>
      <c r="D893" s="377"/>
      <c r="E893" s="377"/>
      <c r="F893" s="377"/>
      <c r="G893" s="377"/>
    </row>
    <row r="894" spans="1:7">
      <c r="A894" s="377"/>
      <c r="B894" s="377"/>
      <c r="C894" s="377"/>
      <c r="D894" s="377"/>
      <c r="E894" s="377"/>
      <c r="F894" s="377"/>
      <c r="G894" s="377"/>
    </row>
    <row r="895" spans="1:7">
      <c r="A895" s="377"/>
      <c r="B895" s="377"/>
      <c r="C895" s="377"/>
      <c r="D895" s="377"/>
      <c r="E895" s="377"/>
      <c r="F895" s="377"/>
      <c r="G895" s="377"/>
    </row>
    <row r="896" spans="1:7">
      <c r="A896" s="377"/>
      <c r="B896" s="377"/>
      <c r="C896" s="377"/>
      <c r="D896" s="377"/>
      <c r="E896" s="377"/>
      <c r="F896" s="377"/>
      <c r="G896" s="377"/>
    </row>
    <row r="897" spans="1:7">
      <c r="A897" s="377"/>
      <c r="B897" s="377"/>
      <c r="C897" s="377"/>
      <c r="D897" s="377"/>
      <c r="E897" s="377"/>
      <c r="F897" s="377"/>
      <c r="G897" s="377"/>
    </row>
    <row r="898" spans="1:7">
      <c r="A898" s="377"/>
      <c r="B898" s="377"/>
      <c r="C898" s="377"/>
      <c r="D898" s="377"/>
      <c r="E898" s="377"/>
      <c r="F898" s="377"/>
      <c r="G898" s="377"/>
    </row>
    <row r="899" spans="1:7">
      <c r="A899" s="377"/>
      <c r="B899" s="377"/>
      <c r="C899" s="377"/>
      <c r="D899" s="377"/>
      <c r="E899" s="377"/>
      <c r="F899" s="377"/>
      <c r="G899" s="377"/>
    </row>
    <row r="900" spans="1:7">
      <c r="A900" s="377"/>
      <c r="B900" s="377"/>
      <c r="C900" s="377"/>
      <c r="D900" s="377"/>
      <c r="E900" s="377"/>
      <c r="F900" s="377"/>
      <c r="G900" s="377"/>
    </row>
    <row r="901" spans="1:7">
      <c r="A901" s="377"/>
      <c r="B901" s="377"/>
      <c r="C901" s="377"/>
      <c r="D901" s="377"/>
      <c r="E901" s="377"/>
      <c r="F901" s="377"/>
      <c r="G901" s="377"/>
    </row>
    <row r="902" spans="1:7">
      <c r="A902" s="377"/>
      <c r="B902" s="377"/>
      <c r="C902" s="377"/>
      <c r="D902" s="377"/>
      <c r="E902" s="377"/>
      <c r="F902" s="377"/>
      <c r="G902" s="377"/>
    </row>
    <row r="903" spans="1:7">
      <c r="A903" s="377"/>
      <c r="B903" s="377"/>
      <c r="C903" s="377"/>
      <c r="D903" s="377"/>
      <c r="E903" s="377"/>
      <c r="F903" s="377"/>
      <c r="G903" s="377"/>
    </row>
    <row r="904" spans="1:7">
      <c r="A904" s="377"/>
      <c r="B904" s="377"/>
      <c r="C904" s="377"/>
      <c r="D904" s="377"/>
      <c r="E904" s="377"/>
      <c r="F904" s="377"/>
      <c r="G904" s="377"/>
    </row>
    <row r="905" spans="1:7">
      <c r="A905" s="377"/>
      <c r="B905" s="377"/>
      <c r="C905" s="377"/>
      <c r="D905" s="377"/>
      <c r="E905" s="377"/>
      <c r="F905" s="377"/>
      <c r="G905" s="377"/>
    </row>
    <row r="906" spans="1:7">
      <c r="A906" s="377"/>
      <c r="B906" s="377"/>
      <c r="C906" s="377"/>
      <c r="D906" s="377"/>
      <c r="E906" s="377"/>
      <c r="F906" s="377"/>
      <c r="G906" s="377"/>
    </row>
    <row r="907" spans="1:7">
      <c r="A907" s="377"/>
      <c r="B907" s="377"/>
      <c r="C907" s="377"/>
      <c r="D907" s="377"/>
      <c r="E907" s="377"/>
      <c r="F907" s="377"/>
      <c r="G907" s="377"/>
    </row>
    <row r="908" spans="1:7">
      <c r="A908" s="377"/>
      <c r="B908" s="377"/>
      <c r="C908" s="377"/>
      <c r="D908" s="377"/>
      <c r="E908" s="377"/>
      <c r="F908" s="377"/>
      <c r="G908" s="377"/>
    </row>
    <row r="909" spans="1:7">
      <c r="A909" s="377"/>
      <c r="B909" s="377"/>
      <c r="C909" s="377"/>
      <c r="D909" s="377"/>
      <c r="E909" s="377"/>
      <c r="F909" s="377"/>
      <c r="G909" s="377"/>
    </row>
    <row r="910" spans="1:7">
      <c r="A910" s="377"/>
      <c r="B910" s="377"/>
      <c r="C910" s="377"/>
      <c r="D910" s="377"/>
      <c r="E910" s="377"/>
      <c r="F910" s="377"/>
      <c r="G910" s="377"/>
    </row>
    <row r="911" spans="1:7">
      <c r="A911" s="377"/>
      <c r="B911" s="377"/>
      <c r="C911" s="377"/>
      <c r="D911" s="377"/>
      <c r="E911" s="377"/>
      <c r="F911" s="377"/>
      <c r="G911" s="377"/>
    </row>
    <row r="912" spans="1:7">
      <c r="A912" s="377"/>
      <c r="B912" s="377"/>
      <c r="C912" s="377"/>
      <c r="D912" s="377"/>
      <c r="E912" s="377"/>
      <c r="F912" s="377"/>
      <c r="G912" s="377"/>
    </row>
    <row r="913" spans="1:7">
      <c r="A913" s="377"/>
      <c r="B913" s="377"/>
      <c r="C913" s="377"/>
      <c r="D913" s="377"/>
      <c r="E913" s="377"/>
      <c r="F913" s="377"/>
      <c r="G913" s="377"/>
    </row>
    <row r="914" spans="1:7">
      <c r="A914" s="377"/>
      <c r="B914" s="377"/>
      <c r="C914" s="377"/>
      <c r="D914" s="377"/>
      <c r="E914" s="377"/>
      <c r="F914" s="377"/>
      <c r="G914" s="377"/>
    </row>
    <row r="915" spans="1:7">
      <c r="A915" s="377"/>
      <c r="B915" s="377"/>
      <c r="C915" s="377"/>
      <c r="D915" s="377"/>
      <c r="E915" s="377"/>
      <c r="F915" s="377"/>
      <c r="G915" s="377"/>
    </row>
    <row r="916" spans="1:7">
      <c r="A916" s="377"/>
      <c r="B916" s="377"/>
      <c r="C916" s="377"/>
      <c r="D916" s="377"/>
      <c r="E916" s="377"/>
      <c r="F916" s="377"/>
      <c r="G916" s="377"/>
    </row>
    <row r="917" spans="1:7">
      <c r="A917" s="377"/>
      <c r="B917" s="377"/>
      <c r="C917" s="377"/>
      <c r="D917" s="377"/>
      <c r="E917" s="377"/>
      <c r="F917" s="377"/>
      <c r="G917" s="377"/>
    </row>
    <row r="918" spans="1:7">
      <c r="A918" s="377"/>
      <c r="B918" s="377"/>
      <c r="C918" s="377"/>
      <c r="D918" s="377"/>
      <c r="E918" s="377"/>
      <c r="F918" s="377"/>
      <c r="G918" s="377"/>
    </row>
    <row r="919" spans="1:7">
      <c r="A919" s="377"/>
      <c r="B919" s="377"/>
      <c r="C919" s="377"/>
      <c r="D919" s="377"/>
      <c r="E919" s="377"/>
      <c r="F919" s="377"/>
      <c r="G919" s="377"/>
    </row>
    <row r="920" spans="1:7">
      <c r="A920" s="377"/>
      <c r="B920" s="377"/>
      <c r="C920" s="377"/>
      <c r="D920" s="377"/>
      <c r="E920" s="377"/>
      <c r="F920" s="377"/>
      <c r="G920" s="377"/>
    </row>
    <row r="921" spans="1:7">
      <c r="A921" s="377"/>
      <c r="B921" s="377"/>
      <c r="C921" s="377"/>
      <c r="D921" s="377"/>
      <c r="E921" s="377"/>
      <c r="F921" s="377"/>
      <c r="G921" s="377"/>
    </row>
    <row r="922" spans="1:7">
      <c r="A922" s="377"/>
      <c r="B922" s="377"/>
      <c r="C922" s="377"/>
      <c r="D922" s="377"/>
      <c r="E922" s="377"/>
      <c r="F922" s="377"/>
      <c r="G922" s="377"/>
    </row>
    <row r="923" spans="1:7">
      <c r="A923" s="377"/>
      <c r="B923" s="377"/>
      <c r="C923" s="377"/>
      <c r="D923" s="377"/>
      <c r="E923" s="377"/>
      <c r="F923" s="377"/>
      <c r="G923" s="377"/>
    </row>
    <row r="924" spans="1:7">
      <c r="A924" s="377"/>
      <c r="B924" s="377"/>
      <c r="C924" s="377"/>
      <c r="D924" s="377"/>
      <c r="E924" s="377"/>
      <c r="F924" s="377"/>
      <c r="G924" s="377"/>
    </row>
    <row r="925" spans="1:7">
      <c r="A925" s="377"/>
      <c r="B925" s="377"/>
      <c r="C925" s="377"/>
      <c r="D925" s="377"/>
      <c r="E925" s="377"/>
      <c r="F925" s="377"/>
      <c r="G925" s="377"/>
    </row>
    <row r="926" spans="1:7">
      <c r="A926" s="377"/>
      <c r="B926" s="377"/>
      <c r="C926" s="377"/>
      <c r="D926" s="377"/>
      <c r="E926" s="377"/>
      <c r="F926" s="377"/>
      <c r="G926" s="377"/>
    </row>
    <row r="927" spans="1:7">
      <c r="A927" s="377"/>
      <c r="B927" s="377"/>
      <c r="C927" s="377"/>
      <c r="D927" s="377"/>
      <c r="E927" s="377"/>
      <c r="F927" s="377"/>
      <c r="G927" s="377"/>
    </row>
    <row r="928" spans="1:7">
      <c r="A928" s="377"/>
      <c r="B928" s="377"/>
      <c r="C928" s="377"/>
      <c r="D928" s="377"/>
      <c r="E928" s="377"/>
      <c r="F928" s="377"/>
      <c r="G928" s="377"/>
    </row>
    <row r="929" spans="1:7">
      <c r="A929" s="377"/>
      <c r="B929" s="377"/>
      <c r="C929" s="377"/>
      <c r="D929" s="377"/>
      <c r="E929" s="377"/>
      <c r="F929" s="377"/>
      <c r="G929" s="377"/>
    </row>
    <row r="930" spans="1:7">
      <c r="A930" s="377"/>
      <c r="B930" s="377"/>
      <c r="C930" s="377"/>
      <c r="D930" s="377"/>
      <c r="E930" s="377"/>
      <c r="F930" s="377"/>
      <c r="G930" s="377"/>
    </row>
    <row r="931" spans="1:7">
      <c r="A931" s="377"/>
      <c r="B931" s="377"/>
      <c r="C931" s="377"/>
      <c r="D931" s="377"/>
      <c r="E931" s="377"/>
      <c r="F931" s="377"/>
      <c r="G931" s="377"/>
    </row>
    <row r="932" spans="1:7">
      <c r="A932" s="377"/>
      <c r="B932" s="377"/>
      <c r="C932" s="377"/>
      <c r="D932" s="377"/>
      <c r="E932" s="377"/>
      <c r="F932" s="377"/>
      <c r="G932" s="377"/>
    </row>
    <row r="933" spans="1:7">
      <c r="A933" s="377"/>
      <c r="B933" s="377"/>
      <c r="C933" s="377"/>
      <c r="D933" s="377"/>
      <c r="E933" s="377"/>
      <c r="F933" s="377"/>
      <c r="G933" s="377"/>
    </row>
    <row r="934" spans="1:7">
      <c r="A934" s="377"/>
      <c r="B934" s="377"/>
      <c r="C934" s="377"/>
      <c r="D934" s="377"/>
      <c r="E934" s="377"/>
      <c r="F934" s="377"/>
      <c r="G934" s="377"/>
    </row>
    <row r="935" spans="1:7">
      <c r="A935" s="377"/>
      <c r="B935" s="377"/>
      <c r="C935" s="377"/>
      <c r="D935" s="377"/>
      <c r="E935" s="377"/>
      <c r="F935" s="377"/>
      <c r="G935" s="377"/>
    </row>
    <row r="936" spans="1:7">
      <c r="A936" s="377"/>
      <c r="B936" s="377"/>
      <c r="C936" s="377"/>
      <c r="D936" s="377"/>
      <c r="E936" s="377"/>
      <c r="F936" s="377"/>
      <c r="G936" s="377"/>
    </row>
    <row r="937" spans="1:7">
      <c r="A937" s="377"/>
      <c r="B937" s="377"/>
      <c r="C937" s="377"/>
      <c r="D937" s="377"/>
      <c r="E937" s="377"/>
      <c r="F937" s="377"/>
      <c r="G937" s="377"/>
    </row>
    <row r="938" spans="1:7">
      <c r="A938" s="377"/>
      <c r="B938" s="377"/>
      <c r="C938" s="377"/>
      <c r="D938" s="377"/>
      <c r="E938" s="377"/>
      <c r="F938" s="377"/>
      <c r="G938" s="377"/>
    </row>
    <row r="939" spans="1:7">
      <c r="A939" s="377"/>
      <c r="B939" s="377"/>
      <c r="C939" s="377"/>
      <c r="D939" s="377"/>
      <c r="E939" s="377"/>
      <c r="F939" s="377"/>
      <c r="G939" s="377"/>
    </row>
    <row r="940" spans="1:7">
      <c r="A940" s="377"/>
      <c r="B940" s="377"/>
      <c r="C940" s="377"/>
      <c r="D940" s="377"/>
      <c r="E940" s="377"/>
      <c r="F940" s="377"/>
      <c r="G940" s="377"/>
    </row>
    <row r="941" spans="1:7">
      <c r="A941" s="377"/>
      <c r="B941" s="377"/>
      <c r="C941" s="377"/>
      <c r="D941" s="377"/>
      <c r="E941" s="377"/>
      <c r="F941" s="377"/>
      <c r="G941" s="377"/>
    </row>
    <row r="942" spans="1:7">
      <c r="A942" s="377"/>
      <c r="B942" s="377"/>
      <c r="C942" s="377"/>
      <c r="D942" s="377"/>
      <c r="E942" s="377"/>
      <c r="F942" s="377"/>
      <c r="G942" s="377"/>
    </row>
    <row r="943" spans="1:7">
      <c r="A943" s="377"/>
      <c r="B943" s="377"/>
      <c r="C943" s="377"/>
      <c r="D943" s="377"/>
      <c r="E943" s="377"/>
      <c r="F943" s="377"/>
      <c r="G943" s="377"/>
    </row>
    <row r="944" spans="1:7">
      <c r="A944" s="377"/>
      <c r="B944" s="377"/>
      <c r="C944" s="377"/>
      <c r="D944" s="377"/>
      <c r="E944" s="377"/>
      <c r="F944" s="377"/>
      <c r="G944" s="377"/>
    </row>
    <row r="945" spans="1:7">
      <c r="A945" s="377"/>
      <c r="B945" s="377"/>
      <c r="C945" s="377"/>
      <c r="D945" s="377"/>
      <c r="E945" s="377"/>
      <c r="F945" s="377"/>
      <c r="G945" s="377"/>
    </row>
    <row r="946" spans="1:7">
      <c r="A946" s="377"/>
      <c r="B946" s="377"/>
      <c r="C946" s="377"/>
      <c r="D946" s="377"/>
      <c r="E946" s="377"/>
      <c r="F946" s="377"/>
      <c r="G946" s="377"/>
    </row>
    <row r="947" spans="1:7">
      <c r="A947" s="377"/>
      <c r="B947" s="377"/>
      <c r="C947" s="377"/>
      <c r="D947" s="377"/>
      <c r="E947" s="377"/>
      <c r="F947" s="377"/>
      <c r="G947" s="377"/>
    </row>
    <row r="948" spans="1:7">
      <c r="A948" s="377"/>
      <c r="B948" s="377"/>
      <c r="C948" s="377"/>
      <c r="D948" s="377"/>
      <c r="E948" s="377"/>
      <c r="F948" s="377"/>
      <c r="G948" s="377"/>
    </row>
    <row r="949" spans="1:7">
      <c r="A949" s="377"/>
      <c r="B949" s="377"/>
      <c r="C949" s="377"/>
      <c r="D949" s="377"/>
      <c r="E949" s="377"/>
      <c r="F949" s="377"/>
      <c r="G949" s="377"/>
    </row>
    <row r="950" spans="1:7">
      <c r="A950" s="377"/>
      <c r="B950" s="377"/>
      <c r="C950" s="377"/>
      <c r="D950" s="377"/>
      <c r="E950" s="377"/>
      <c r="F950" s="377"/>
      <c r="G950" s="377"/>
    </row>
    <row r="951" spans="1:7">
      <c r="A951" s="377"/>
      <c r="B951" s="377"/>
      <c r="C951" s="377"/>
      <c r="D951" s="377"/>
      <c r="E951" s="377"/>
      <c r="F951" s="377"/>
      <c r="G951" s="377"/>
    </row>
    <row r="952" spans="1:7">
      <c r="A952" s="377"/>
      <c r="B952" s="377"/>
      <c r="C952" s="377"/>
      <c r="D952" s="377"/>
      <c r="E952" s="377"/>
      <c r="F952" s="377"/>
      <c r="G952" s="377"/>
    </row>
    <row r="953" spans="1:7">
      <c r="A953" s="377"/>
      <c r="B953" s="377"/>
      <c r="C953" s="377"/>
      <c r="D953" s="377"/>
      <c r="E953" s="377"/>
      <c r="F953" s="377"/>
      <c r="G953" s="377"/>
    </row>
    <row r="954" spans="1:7">
      <c r="A954" s="377"/>
      <c r="B954" s="377"/>
      <c r="C954" s="377"/>
      <c r="D954" s="377"/>
      <c r="E954" s="377"/>
      <c r="F954" s="377"/>
      <c r="G954" s="377"/>
    </row>
    <row r="955" spans="1:7">
      <c r="A955" s="377"/>
      <c r="B955" s="377"/>
      <c r="C955" s="377"/>
      <c r="D955" s="377"/>
      <c r="E955" s="377"/>
      <c r="F955" s="377"/>
      <c r="G955" s="377"/>
    </row>
    <row r="956" spans="1:7">
      <c r="A956" s="377"/>
      <c r="B956" s="377"/>
      <c r="C956" s="377"/>
      <c r="D956" s="377"/>
      <c r="E956" s="377"/>
      <c r="F956" s="377"/>
      <c r="G956" s="377"/>
    </row>
    <row r="957" spans="1:7">
      <c r="A957" s="377"/>
      <c r="B957" s="377"/>
      <c r="C957" s="377"/>
      <c r="D957" s="377"/>
      <c r="E957" s="377"/>
      <c r="F957" s="377"/>
      <c r="G957" s="377"/>
    </row>
    <row r="958" spans="1:7">
      <c r="A958" s="377"/>
      <c r="B958" s="377"/>
      <c r="C958" s="377"/>
      <c r="D958" s="377"/>
      <c r="E958" s="377"/>
      <c r="F958" s="377"/>
      <c r="G958" s="377"/>
    </row>
    <row r="959" spans="1:7">
      <c r="A959" s="377"/>
      <c r="B959" s="377"/>
      <c r="C959" s="377"/>
      <c r="D959" s="377"/>
      <c r="E959" s="377"/>
      <c r="F959" s="377"/>
      <c r="G959" s="377"/>
    </row>
    <row r="960" spans="1:7">
      <c r="A960" s="377"/>
      <c r="B960" s="377"/>
      <c r="C960" s="377"/>
      <c r="D960" s="377"/>
      <c r="E960" s="377"/>
      <c r="F960" s="377"/>
      <c r="G960" s="377"/>
    </row>
    <row r="961" spans="1:7">
      <c r="A961" s="377"/>
      <c r="B961" s="377"/>
      <c r="C961" s="377"/>
      <c r="D961" s="377"/>
      <c r="E961" s="377"/>
      <c r="F961" s="377"/>
      <c r="G961" s="377"/>
    </row>
    <row r="962" spans="1:7">
      <c r="A962" s="377"/>
      <c r="B962" s="377"/>
      <c r="C962" s="377"/>
      <c r="D962" s="377"/>
      <c r="E962" s="377"/>
      <c r="F962" s="377"/>
      <c r="G962" s="377"/>
    </row>
    <row r="963" spans="1:7">
      <c r="A963" s="377"/>
      <c r="B963" s="377"/>
      <c r="C963" s="377"/>
      <c r="D963" s="377"/>
      <c r="E963" s="377"/>
      <c r="F963" s="377"/>
      <c r="G963" s="377"/>
    </row>
    <row r="964" spans="1:7">
      <c r="A964" s="377"/>
      <c r="B964" s="377"/>
      <c r="C964" s="377"/>
      <c r="D964" s="377"/>
      <c r="E964" s="377"/>
      <c r="F964" s="377"/>
      <c r="G964" s="377"/>
    </row>
    <row r="965" spans="1:7">
      <c r="A965" s="377"/>
      <c r="B965" s="377"/>
      <c r="C965" s="377"/>
      <c r="D965" s="377"/>
      <c r="E965" s="377"/>
      <c r="F965" s="377"/>
      <c r="G965" s="377"/>
    </row>
    <row r="966" spans="1:7">
      <c r="A966" s="377"/>
      <c r="B966" s="377"/>
      <c r="C966" s="377"/>
      <c r="D966" s="377"/>
      <c r="E966" s="377"/>
      <c r="F966" s="377"/>
      <c r="G966" s="377"/>
    </row>
    <row r="967" spans="1:7">
      <c r="A967" s="377"/>
      <c r="B967" s="377"/>
      <c r="C967" s="377"/>
      <c r="D967" s="377"/>
      <c r="E967" s="377"/>
      <c r="F967" s="377"/>
      <c r="G967" s="377"/>
    </row>
    <row r="968" spans="1:7">
      <c r="A968" s="377"/>
      <c r="B968" s="377"/>
      <c r="C968" s="377"/>
      <c r="D968" s="377"/>
      <c r="E968" s="377"/>
      <c r="F968" s="377"/>
      <c r="G968" s="377"/>
    </row>
    <row r="969" spans="1:7">
      <c r="A969" s="377"/>
      <c r="B969" s="377"/>
      <c r="C969" s="377"/>
      <c r="D969" s="377"/>
      <c r="E969" s="377"/>
      <c r="F969" s="377"/>
      <c r="G969" s="377"/>
    </row>
    <row r="970" spans="1:7">
      <c r="A970" s="377"/>
      <c r="B970" s="377"/>
      <c r="C970" s="377"/>
      <c r="D970" s="377"/>
      <c r="E970" s="377"/>
      <c r="F970" s="377"/>
      <c r="G970" s="377"/>
    </row>
    <row r="971" spans="1:7">
      <c r="A971" s="377"/>
      <c r="B971" s="377"/>
      <c r="C971" s="377"/>
      <c r="D971" s="377"/>
      <c r="E971" s="377"/>
      <c r="F971" s="377"/>
      <c r="G971" s="377"/>
    </row>
    <row r="972" spans="1:7">
      <c r="A972" s="377"/>
      <c r="B972" s="377"/>
      <c r="C972" s="377"/>
      <c r="D972" s="377"/>
      <c r="E972" s="377"/>
      <c r="F972" s="377"/>
      <c r="G972" s="377"/>
    </row>
    <row r="973" spans="1:7">
      <c r="A973" s="377"/>
      <c r="B973" s="377"/>
      <c r="C973" s="377"/>
      <c r="D973" s="377"/>
      <c r="E973" s="377"/>
      <c r="F973" s="377"/>
      <c r="G973" s="377"/>
    </row>
    <row r="974" spans="1:7">
      <c r="A974" s="377"/>
      <c r="B974" s="377"/>
      <c r="C974" s="377"/>
      <c r="D974" s="377"/>
      <c r="E974" s="377"/>
      <c r="F974" s="377"/>
      <c r="G974" s="377"/>
    </row>
    <row r="975" spans="1:7">
      <c r="A975" s="377"/>
      <c r="B975" s="377"/>
      <c r="C975" s="377"/>
      <c r="D975" s="377"/>
      <c r="E975" s="377"/>
      <c r="F975" s="377"/>
      <c r="G975" s="377"/>
    </row>
    <row r="976" spans="1:7">
      <c r="A976" s="377"/>
      <c r="B976" s="377"/>
      <c r="C976" s="377"/>
      <c r="D976" s="377"/>
      <c r="E976" s="377"/>
      <c r="F976" s="377"/>
      <c r="G976" s="377"/>
    </row>
    <row r="977" spans="1:7">
      <c r="A977" s="377"/>
      <c r="B977" s="377"/>
      <c r="C977" s="377"/>
      <c r="D977" s="377"/>
      <c r="E977" s="377"/>
      <c r="F977" s="377"/>
      <c r="G977" s="377"/>
    </row>
    <row r="978" spans="1:7">
      <c r="A978" s="377"/>
      <c r="B978" s="377"/>
      <c r="C978" s="377"/>
      <c r="D978" s="377"/>
      <c r="E978" s="377"/>
      <c r="F978" s="377"/>
      <c r="G978" s="377"/>
    </row>
    <row r="979" spans="1:7">
      <c r="A979" s="377"/>
      <c r="B979" s="377"/>
      <c r="C979" s="377"/>
      <c r="D979" s="377"/>
      <c r="E979" s="377"/>
      <c r="F979" s="377"/>
      <c r="G979" s="377"/>
    </row>
    <row r="980" spans="1:7">
      <c r="A980" s="377"/>
      <c r="B980" s="377"/>
      <c r="C980" s="377"/>
      <c r="D980" s="377"/>
      <c r="E980" s="377"/>
      <c r="F980" s="377"/>
      <c r="G980" s="377"/>
    </row>
  </sheetData>
  <sheetProtection algorithmName="SHA-512" hashValue="XNqBxX60KzE0OEp9x1ZPVcYz+A/98AMDqyosBHBRDnIe/XE4UYYY1tpxdVTdpApwxy8qiw5gd/1iu1rxvJe4VQ==" saltValue="Ft6zoYeTV+T5NjRVdr/euQ==" spinCount="100000" sheet="1" objects="1" scenarios="1"/>
  <mergeCells count="15">
    <mergeCell ref="A69:G69"/>
    <mergeCell ref="B48:D48"/>
    <mergeCell ref="F48:G48"/>
    <mergeCell ref="B65:D65"/>
    <mergeCell ref="F65:G65"/>
    <mergeCell ref="B66:D66"/>
    <mergeCell ref="F66:G66"/>
    <mergeCell ref="A2:G2"/>
    <mergeCell ref="A3:G3"/>
    <mergeCell ref="A6:A8"/>
    <mergeCell ref="B6:B8"/>
    <mergeCell ref="C6:C8"/>
    <mergeCell ref="D6:F6"/>
    <mergeCell ref="G6:G8"/>
    <mergeCell ref="F7:F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</vt:i4>
      </vt:variant>
    </vt:vector>
  </HeadingPairs>
  <TitlesOfParts>
    <vt:vector size="40" baseType="lpstr">
      <vt:lpstr>Form 1b - ABR Summary</vt:lpstr>
      <vt:lpstr>OCM</vt:lpstr>
      <vt:lpstr>IAS</vt:lpstr>
      <vt:lpstr>PSTMO</vt:lpstr>
      <vt:lpstr>MDRRMO</vt:lpstr>
      <vt:lpstr>CMDAO</vt:lpstr>
      <vt:lpstr>BPLO</vt:lpstr>
      <vt:lpstr>CUPAO</vt:lpstr>
      <vt:lpstr>LIBRARY</vt:lpstr>
      <vt:lpstr>CTCAO</vt:lpstr>
      <vt:lpstr>CMPI</vt:lpstr>
      <vt:lpstr>PESO</vt:lpstr>
      <vt:lpstr>MCAT</vt:lpstr>
      <vt:lpstr>MPIO</vt:lpstr>
      <vt:lpstr>OSCA</vt:lpstr>
      <vt:lpstr>PDAO</vt:lpstr>
      <vt:lpstr>SPORTS</vt:lpstr>
      <vt:lpstr>MARKET</vt:lpstr>
      <vt:lpstr>COOP</vt:lpstr>
      <vt:lpstr>CENRO</vt:lpstr>
      <vt:lpstr>GAD</vt:lpstr>
      <vt:lpstr>OCA</vt:lpstr>
      <vt:lpstr>CHRMDD</vt:lpstr>
      <vt:lpstr>CBD</vt:lpstr>
      <vt:lpstr>CPDD</vt:lpstr>
      <vt:lpstr>CAD</vt:lpstr>
      <vt:lpstr>CLD</vt:lpstr>
      <vt:lpstr>GSD</vt:lpstr>
      <vt:lpstr>CTD</vt:lpstr>
      <vt:lpstr>CAssD</vt:lpstr>
      <vt:lpstr>CHD</vt:lpstr>
      <vt:lpstr>CCRD</vt:lpstr>
      <vt:lpstr>CED</vt:lpstr>
      <vt:lpstr>CSWDD</vt:lpstr>
      <vt:lpstr>CHUDD</vt:lpstr>
      <vt:lpstr>OCVM</vt:lpstr>
      <vt:lpstr>COUNCIL</vt:lpstr>
      <vt:lpstr>COUNCIL SEC</vt:lpstr>
      <vt:lpstr>CMU</vt:lpstr>
      <vt:lpstr>'Form 1b - ABR Summary'!Print_Area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Jasmin Aure</dc:creator>
  <cp:keywords/>
  <dc:description/>
  <cp:lastModifiedBy>ADMIN</cp:lastModifiedBy>
  <cp:lastPrinted>2024-03-13T01:18:10Z</cp:lastPrinted>
  <dcterms:created xsi:type="dcterms:W3CDTF">2015-06-05T18:17:20Z</dcterms:created>
  <dcterms:modified xsi:type="dcterms:W3CDTF">2026-01-06T05:59:18Z</dcterms:modified>
  <cp:category/>
</cp:coreProperties>
</file>